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C:\Users\Sławomir Zalewski\Documents\ALPOL 2024\Kalkulatory\"/>
    </mc:Choice>
  </mc:AlternateContent>
  <xr:revisionPtr revIDLastSave="0" documentId="13_ncr:1_{8CEB26F5-A34B-4BEB-8787-FCB5D83504EF}" xr6:coauthVersionLast="47" xr6:coauthVersionMax="47" xr10:uidLastSave="{00000000-0000-0000-0000-000000000000}"/>
  <bookViews>
    <workbookView xWindow="-108" yWindow="-108" windowWidth="23256" windowHeight="12456" xr2:uid="{00000000-000D-0000-FFFF-FFFF00000000}"/>
  </bookViews>
  <sheets>
    <sheet name="Kalkulator" sheetId="2" r:id="rId1"/>
    <sheet name="Ceny" sheetId="1" r:id="rId2"/>
    <sheet name="Opisy" sheetId="3" state="hidden" r:id="rId3"/>
  </sheets>
  <definedNames>
    <definedName name="_xlnm._FilterDatabase" localSheetId="0" hidden="1">Kalkulator!#REF!</definedName>
    <definedName name="budynki">Ceny!$H$65:$H$70</definedName>
    <definedName name="cena">Ceny!$F$56</definedName>
    <definedName name="ceny">Ceny!$E$58:$E$60</definedName>
    <definedName name="data">Ceny!$E$54:$E$54</definedName>
    <definedName name="dopłaty_f">Ceny!$A$82:$A$85</definedName>
    <definedName name="dopłaty_g">Ceny!$A$69:$A$73</definedName>
    <definedName name="dopłaty_i">Ceny!$A$88:$A$88</definedName>
    <definedName name="dopłaty_t">Ceny!$A$76:$A$79</definedName>
    <definedName name="farby">Ceny!$A$5:$A$10</definedName>
    <definedName name="grunty">Ceny!$A$11:$A$13</definedName>
    <definedName name="grupy">Ceny!$A$76:$A$78</definedName>
    <definedName name="izolacja">Ceny!$F$64:$F$89</definedName>
    <definedName name="Język">Ceny!$I$74:$I$77</definedName>
    <definedName name="Języki">Ceny!$I$74:$J$77</definedName>
    <definedName name="kleje_1">Ceny!$A$14:$A$20</definedName>
    <definedName name="kleje_1_GRAFIT">Ceny!$A$14:$A$20</definedName>
    <definedName name="Kleje_1_XPS">Ceny!$A$18:$A$20</definedName>
    <definedName name="kleje_2">Ceny!$A$63:$A$66</definedName>
    <definedName name="Kleje_2_XPS">Ceny!$A$17:$A$19</definedName>
    <definedName name="_xlnm.Print_Area" localSheetId="1">Ceny!$A$1:$D$51</definedName>
    <definedName name="_xlnm.Print_Area" localSheetId="0">Kalkulator!$A$7:$I$64</definedName>
    <definedName name="opisy">Opisy!$A$1:$E$205</definedName>
    <definedName name="produkty">Ceny!$A$5:$N$51</definedName>
    <definedName name="rodzaje_styropianu">Ceny!$A$57:$A$60</definedName>
    <definedName name="siatki">Ceny!$A$50:$A$51</definedName>
    <definedName name="ściany">Ceny!$H$55:$H$61</definedName>
    <definedName name="tabela_budynki">Ceny!$H$65:$J$70</definedName>
    <definedName name="tabela_dopłaty_f">Ceny!$A$82:$B$85</definedName>
    <definedName name="tabela_dopłaty_g">Ceny!$A$69:$B$73</definedName>
    <definedName name="tabela_dopłaty_t">Ceny!$A$76:$B$79</definedName>
    <definedName name="tabela_izolacja">Ceny!$A$57:$C$60</definedName>
    <definedName name="tabela_ściany">Ceny!$H$55:$L$61</definedName>
    <definedName name="tynki">Ceny!$A$21:$A$49</definedName>
    <definedName name="XPS">Kalkulator!#REF!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1" l="1"/>
  <c r="E34" i="1" l="1"/>
  <c r="F34" i="1" s="1"/>
  <c r="E35" i="1"/>
  <c r="F35" i="1" s="1"/>
  <c r="E36" i="1"/>
  <c r="F36" i="1" s="1"/>
  <c r="E37" i="1"/>
  <c r="F37" i="1" s="1"/>
  <c r="E9" i="1"/>
  <c r="F9" i="1" s="1"/>
  <c r="E10" i="1"/>
  <c r="F10" i="1" s="1"/>
  <c r="E21" i="1" l="1"/>
  <c r="F21" i="1" s="1"/>
  <c r="E44" i="1"/>
  <c r="F44" i="1" s="1"/>
  <c r="E45" i="1"/>
  <c r="F45" i="1" s="1"/>
  <c r="E43" i="1"/>
  <c r="F43" i="1" s="1"/>
  <c r="E42" i="1"/>
  <c r="F42" i="1" s="1"/>
  <c r="E48" i="1"/>
  <c r="E47" i="1"/>
  <c r="E46" i="1"/>
  <c r="M4" i="2" l="1"/>
  <c r="F57" i="1"/>
  <c r="N2" i="2"/>
  <c r="O2" i="2" s="1"/>
  <c r="E1" i="1" s="1"/>
  <c r="N1" i="2"/>
  <c r="B141" i="2" l="1"/>
  <c r="A58" i="1" s="1"/>
  <c r="B199" i="2"/>
  <c r="A36" i="1" s="1"/>
  <c r="B200" i="2"/>
  <c r="A37" i="1" s="1"/>
  <c r="B197" i="2"/>
  <c r="A34" i="1" s="1"/>
  <c r="B198" i="2"/>
  <c r="A35" i="1" s="1"/>
  <c r="B232" i="2"/>
  <c r="A11" i="2" s="1"/>
  <c r="B233" i="2"/>
  <c r="A64" i="2" s="1"/>
  <c r="B227" i="2"/>
  <c r="A14" i="2" s="1"/>
  <c r="B231" i="2"/>
  <c r="B230" i="2"/>
  <c r="B229" i="2"/>
  <c r="B228" i="2"/>
  <c r="B225" i="2"/>
  <c r="A88" i="1" s="1"/>
  <c r="O28" i="2" s="1"/>
  <c r="B226" i="2"/>
  <c r="B183" i="2"/>
  <c r="A21" i="1" s="1"/>
  <c r="B171" i="2"/>
  <c r="A9" i="1" s="1"/>
  <c r="B172" i="2"/>
  <c r="A10" i="1" s="1"/>
  <c r="B74" i="2"/>
  <c r="C1" i="1" s="1"/>
  <c r="B147" i="2"/>
  <c r="B191" i="2"/>
  <c r="B187" i="2"/>
  <c r="B223" i="2"/>
  <c r="G28" i="2" s="1"/>
  <c r="B219" i="2"/>
  <c r="B215" i="2"/>
  <c r="A51" i="1" s="1"/>
  <c r="B211" i="2"/>
  <c r="B207" i="2"/>
  <c r="A44" i="1" s="1"/>
  <c r="B203" i="2"/>
  <c r="A40" i="1" s="1"/>
  <c r="B195" i="2"/>
  <c r="A32" i="1" s="1"/>
  <c r="B192" i="2"/>
  <c r="B188" i="2"/>
  <c r="B224" i="2"/>
  <c r="B3" i="1" s="1"/>
  <c r="B220" i="2"/>
  <c r="B216" i="2"/>
  <c r="B212" i="2"/>
  <c r="A48" i="1" s="1"/>
  <c r="B208" i="2"/>
  <c r="A45" i="1" s="1"/>
  <c r="B204" i="2"/>
  <c r="A41" i="1" s="1"/>
  <c r="B196" i="2"/>
  <c r="A33" i="1" s="1"/>
  <c r="B193" i="2"/>
  <c r="B189" i="2"/>
  <c r="B185" i="2"/>
  <c r="B221" i="2"/>
  <c r="B217" i="2"/>
  <c r="C3" i="1" s="1"/>
  <c r="B213" i="2"/>
  <c r="A49" i="1" s="1"/>
  <c r="B209" i="2"/>
  <c r="A46" i="1" s="1"/>
  <c r="B205" i="2"/>
  <c r="A42" i="1" s="1"/>
  <c r="B201" i="2"/>
  <c r="A38" i="1" s="1"/>
  <c r="B194" i="2"/>
  <c r="B190" i="2"/>
  <c r="B186" i="2"/>
  <c r="B222" i="2"/>
  <c r="B218" i="2"/>
  <c r="G42" i="2" s="1"/>
  <c r="B214" i="2"/>
  <c r="A50" i="1" s="1"/>
  <c r="B210" i="2"/>
  <c r="A47" i="1" s="1"/>
  <c r="B206" i="2"/>
  <c r="A43" i="1" s="1"/>
  <c r="B202" i="2"/>
  <c r="A39" i="1" s="1"/>
  <c r="B176" i="2"/>
  <c r="B166" i="2"/>
  <c r="A3" i="1" s="1"/>
  <c r="B158" i="2"/>
  <c r="B150" i="2"/>
  <c r="B182" i="2"/>
  <c r="B178" i="2"/>
  <c r="B174" i="2"/>
  <c r="B168" i="2"/>
  <c r="B164" i="2"/>
  <c r="B160" i="2"/>
  <c r="B156" i="2"/>
  <c r="B152" i="2"/>
  <c r="B148" i="2"/>
  <c r="B142" i="2"/>
  <c r="B180" i="2"/>
  <c r="B170" i="2"/>
  <c r="B162" i="2"/>
  <c r="B154" i="2"/>
  <c r="B145" i="2"/>
  <c r="B184" i="2"/>
  <c r="B179" i="2"/>
  <c r="B175" i="2"/>
  <c r="B169" i="2"/>
  <c r="B165" i="2"/>
  <c r="B161" i="2"/>
  <c r="B157" i="2"/>
  <c r="B153" i="2"/>
  <c r="B149" i="2"/>
  <c r="B144" i="2"/>
  <c r="B181" i="2"/>
  <c r="B177" i="2"/>
  <c r="B173" i="2"/>
  <c r="B167" i="2"/>
  <c r="B163" i="2"/>
  <c r="B159" i="2"/>
  <c r="B155" i="2"/>
  <c r="B151" i="2"/>
  <c r="B146" i="2"/>
  <c r="B71" i="2"/>
  <c r="F3" i="2" s="1"/>
  <c r="B143" i="2"/>
  <c r="B139" i="2"/>
  <c r="E15" i="2" s="1"/>
  <c r="B137" i="2"/>
  <c r="B135" i="2"/>
  <c r="B133" i="2"/>
  <c r="B131" i="2"/>
  <c r="B129" i="2"/>
  <c r="B127" i="2"/>
  <c r="B125" i="2"/>
  <c r="A84" i="1" s="1"/>
  <c r="B123" i="2"/>
  <c r="A82" i="1" s="1"/>
  <c r="B121" i="2"/>
  <c r="B119" i="2"/>
  <c r="B117" i="2"/>
  <c r="B115" i="2"/>
  <c r="B113" i="2"/>
  <c r="B111" i="2"/>
  <c r="B109" i="2"/>
  <c r="B107" i="2"/>
  <c r="B105" i="2"/>
  <c r="B103" i="2"/>
  <c r="B101" i="2"/>
  <c r="B99" i="2"/>
  <c r="B97" i="2"/>
  <c r="B95" i="2"/>
  <c r="B93" i="2"/>
  <c r="B91" i="2"/>
  <c r="B89" i="2"/>
  <c r="B87" i="2"/>
  <c r="C8" i="2" s="1"/>
  <c r="B85" i="2"/>
  <c r="H10" i="2" s="1"/>
  <c r="B83" i="2"/>
  <c r="B81" i="2"/>
  <c r="B77" i="2"/>
  <c r="B72" i="2"/>
  <c r="B67" i="2"/>
  <c r="B140" i="2"/>
  <c r="B138" i="2"/>
  <c r="B136" i="2"/>
  <c r="B134" i="2"/>
  <c r="E37" i="2" s="1"/>
  <c r="B132" i="2"/>
  <c r="B130" i="2"/>
  <c r="B128" i="2"/>
  <c r="B126" i="2"/>
  <c r="A85" i="1" s="1"/>
  <c r="B124" i="2"/>
  <c r="A83" i="1" s="1"/>
  <c r="B122" i="2"/>
  <c r="B120" i="2"/>
  <c r="B118" i="2"/>
  <c r="B116" i="2"/>
  <c r="B114" i="2"/>
  <c r="B112" i="2"/>
  <c r="B110" i="2"/>
  <c r="B108" i="2"/>
  <c r="B106" i="2"/>
  <c r="B104" i="2"/>
  <c r="B102" i="2"/>
  <c r="B100" i="2"/>
  <c r="B98" i="2"/>
  <c r="B96" i="2"/>
  <c r="B94" i="2"/>
  <c r="B92" i="2"/>
  <c r="B90" i="2"/>
  <c r="B88" i="2"/>
  <c r="B86" i="2"/>
  <c r="B7" i="2" s="1"/>
  <c r="B84" i="2"/>
  <c r="B82" i="2"/>
  <c r="B80" i="2"/>
  <c r="B78" i="2"/>
  <c r="B76" i="2"/>
  <c r="A5" i="2" s="1"/>
  <c r="B73" i="2"/>
  <c r="B70" i="2"/>
  <c r="F2" i="2" s="1"/>
  <c r="B68" i="2"/>
  <c r="B66" i="2"/>
  <c r="B79" i="2"/>
  <c r="B75" i="2"/>
  <c r="M5" i="2" s="1"/>
  <c r="L39" i="2" s="1"/>
  <c r="B69" i="2"/>
  <c r="A1" i="1" s="1"/>
  <c r="M14" i="2" l="1"/>
  <c r="M15" i="2"/>
  <c r="A59" i="1"/>
  <c r="A63" i="2"/>
  <c r="A10" i="2"/>
  <c r="A4" i="2"/>
  <c r="A2" i="2"/>
  <c r="H18" i="2"/>
  <c r="L17" i="2"/>
  <c r="O29" i="2"/>
  <c r="A11" i="1"/>
  <c r="L60" i="1"/>
  <c r="L61" i="1"/>
  <c r="L59" i="1"/>
  <c r="L55" i="1"/>
  <c r="L56" i="1"/>
  <c r="L57" i="1"/>
  <c r="L58" i="1"/>
  <c r="F55" i="2"/>
  <c r="F56" i="2"/>
  <c r="F53" i="2"/>
  <c r="G22" i="2"/>
  <c r="G24" i="2"/>
  <c r="G26" i="2"/>
  <c r="G20" i="2"/>
  <c r="G46" i="2"/>
  <c r="G21" i="2"/>
  <c r="G48" i="2"/>
  <c r="G31" i="2"/>
  <c r="G33" i="2"/>
  <c r="G41" i="2"/>
  <c r="A52" i="2"/>
  <c r="P29" i="2"/>
  <c r="H37" i="1" l="1"/>
  <c r="H36" i="1"/>
  <c r="H35" i="1"/>
  <c r="H34" i="1"/>
  <c r="N57" i="2"/>
  <c r="A29" i="2"/>
  <c r="G29" i="2"/>
  <c r="C41" i="2"/>
  <c r="A60" i="1"/>
  <c r="A57" i="1"/>
  <c r="A14" i="1" l="1"/>
  <c r="A15" i="1"/>
  <c r="A63" i="1" s="1"/>
  <c r="E15" i="1"/>
  <c r="F15" i="1" s="1"/>
  <c r="E14" i="1"/>
  <c r="F14" i="1" s="1"/>
  <c r="H66" i="1"/>
  <c r="M59" i="2"/>
  <c r="F59" i="2" s="1"/>
  <c r="A5" i="1"/>
  <c r="A6" i="1"/>
  <c r="A7" i="1"/>
  <c r="A8" i="1"/>
  <c r="H21" i="1"/>
  <c r="A12" i="1"/>
  <c r="A13" i="1"/>
  <c r="H41" i="1" s="1"/>
  <c r="A16" i="1"/>
  <c r="A17" i="1"/>
  <c r="A64" i="1" s="1"/>
  <c r="A18" i="1"/>
  <c r="A19" i="1"/>
  <c r="A66" i="1" s="1"/>
  <c r="A20" i="1"/>
  <c r="A22" i="1"/>
  <c r="A23" i="1"/>
  <c r="A24" i="1"/>
  <c r="A25" i="1"/>
  <c r="A26" i="1"/>
  <c r="A27" i="1"/>
  <c r="A28" i="1"/>
  <c r="A29" i="1"/>
  <c r="A30" i="1"/>
  <c r="A31" i="1"/>
  <c r="L20" i="2"/>
  <c r="M28" i="2"/>
  <c r="A79" i="1"/>
  <c r="E7" i="1"/>
  <c r="F7" i="1" s="1"/>
  <c r="H68" i="1"/>
  <c r="H69" i="1"/>
  <c r="H70" i="1"/>
  <c r="D3" i="1"/>
  <c r="A69" i="1"/>
  <c r="E6" i="1"/>
  <c r="F6" i="1" s="1"/>
  <c r="A73" i="1"/>
  <c r="E11" i="1"/>
  <c r="F11" i="1" s="1"/>
  <c r="E12" i="1"/>
  <c r="F12" i="1" s="1"/>
  <c r="M26" i="2"/>
  <c r="E13" i="1"/>
  <c r="F13" i="1" s="1"/>
  <c r="E25" i="1"/>
  <c r="F25" i="1" s="1"/>
  <c r="E31" i="1"/>
  <c r="F31" i="1" s="1"/>
  <c r="M24" i="2"/>
  <c r="E26" i="1"/>
  <c r="F26" i="1" s="1"/>
  <c r="E40" i="1"/>
  <c r="F40" i="1" s="1"/>
  <c r="C62" i="2"/>
  <c r="A70" i="1"/>
  <c r="A71" i="1"/>
  <c r="E27" i="1"/>
  <c r="F27" i="1" s="1"/>
  <c r="A76" i="1"/>
  <c r="A77" i="1"/>
  <c r="A78" i="1"/>
  <c r="M41" i="2"/>
  <c r="N15" i="2"/>
  <c r="M42" i="2"/>
  <c r="I44" i="2"/>
  <c r="I62" i="2" s="1"/>
  <c r="F48" i="2"/>
  <c r="H19" i="2"/>
  <c r="H40" i="2" s="1"/>
  <c r="I19" i="2"/>
  <c r="I40" i="2" s="1"/>
  <c r="F19" i="2"/>
  <c r="F40" i="2" s="1"/>
  <c r="H55" i="1"/>
  <c r="H56" i="1"/>
  <c r="H57" i="1"/>
  <c r="H58" i="1"/>
  <c r="H59" i="1"/>
  <c r="H60" i="1"/>
  <c r="H61" i="1"/>
  <c r="E16" i="1"/>
  <c r="F16" i="1" s="1"/>
  <c r="E17" i="1"/>
  <c r="F17" i="1" s="1"/>
  <c r="E18" i="1"/>
  <c r="F18" i="1" s="1"/>
  <c r="E19" i="1"/>
  <c r="F19" i="1" s="1"/>
  <c r="E20" i="1"/>
  <c r="F20" i="1" s="1"/>
  <c r="E22" i="1"/>
  <c r="F22" i="1" s="1"/>
  <c r="E23" i="1"/>
  <c r="F23" i="1" s="1"/>
  <c r="E24" i="1"/>
  <c r="F24" i="1" s="1"/>
  <c r="E28" i="1"/>
  <c r="F28" i="1" s="1"/>
  <c r="E29" i="1"/>
  <c r="F29" i="1" s="1"/>
  <c r="E30" i="1"/>
  <c r="F30" i="1" s="1"/>
  <c r="E32" i="1"/>
  <c r="F32" i="1" s="1"/>
  <c r="E33" i="1"/>
  <c r="F33" i="1" s="1"/>
  <c r="E38" i="1"/>
  <c r="F38" i="1" s="1"/>
  <c r="E39" i="1"/>
  <c r="F39" i="1" s="1"/>
  <c r="E41" i="1"/>
  <c r="F41" i="1" s="1"/>
  <c r="E49" i="1"/>
  <c r="F49" i="1" s="1"/>
  <c r="E50" i="1"/>
  <c r="F50" i="1" s="1"/>
  <c r="E51" i="1"/>
  <c r="F51" i="1" s="1"/>
  <c r="C59" i="2"/>
  <c r="H63" i="2"/>
  <c r="H48" i="2"/>
  <c r="H46" i="2"/>
  <c r="H37" i="2"/>
  <c r="H35" i="2"/>
  <c r="H33" i="2"/>
  <c r="H31" i="2"/>
  <c r="E8" i="1"/>
  <c r="F8" i="1" s="1"/>
  <c r="A72" i="1"/>
  <c r="A51" i="2"/>
  <c r="A50" i="2"/>
  <c r="I52" i="2"/>
  <c r="H52" i="2"/>
  <c r="G52" i="2"/>
  <c r="G18" i="2"/>
  <c r="F52" i="2" s="1"/>
  <c r="E33" i="2"/>
  <c r="A44" i="2"/>
  <c r="A62" i="2" s="1"/>
  <c r="A42" i="2"/>
  <c r="A60" i="2" s="1"/>
  <c r="A41" i="2"/>
  <c r="A59" i="2" s="1"/>
  <c r="A28" i="2"/>
  <c r="A58" i="2" s="1"/>
  <c r="A26" i="2"/>
  <c r="A57" i="2" s="1"/>
  <c r="A24" i="2"/>
  <c r="A56" i="2" s="1"/>
  <c r="A22" i="2"/>
  <c r="A55" i="2" s="1"/>
  <c r="A21" i="2"/>
  <c r="A54" i="2" s="1"/>
  <c r="A20" i="2"/>
  <c r="A53" i="2" s="1"/>
  <c r="C44" i="2"/>
  <c r="E31" i="2"/>
  <c r="E46" i="2" s="1"/>
  <c r="A39" i="2"/>
  <c r="K39" i="2"/>
  <c r="F18" i="2"/>
  <c r="F39" i="2" s="1"/>
  <c r="I39" i="2"/>
  <c r="K18" i="2"/>
  <c r="K17" i="2"/>
  <c r="E35" i="2"/>
  <c r="A27" i="2"/>
  <c r="A25" i="2"/>
  <c r="A23" i="2"/>
  <c r="A18" i="2"/>
  <c r="E14" i="2"/>
  <c r="E13" i="2"/>
  <c r="F5" i="2"/>
  <c r="F4" i="2"/>
  <c r="M43" i="2"/>
  <c r="F5" i="1"/>
  <c r="M22" i="2"/>
  <c r="M21" i="2"/>
  <c r="M20" i="2"/>
  <c r="M29" i="2"/>
  <c r="K29" i="2"/>
  <c r="M27" i="2"/>
  <c r="M25" i="2"/>
  <c r="G55" i="2"/>
  <c r="G53" i="2"/>
  <c r="C58" i="2"/>
  <c r="C56" i="2"/>
  <c r="C55" i="2"/>
  <c r="C54" i="2"/>
  <c r="C53" i="2"/>
  <c r="F33" i="2"/>
  <c r="E54" i="1"/>
  <c r="P20" i="2"/>
  <c r="G63" i="2" l="1"/>
  <c r="E48" i="2"/>
  <c r="C42" i="2"/>
  <c r="H45" i="1"/>
  <c r="H42" i="1"/>
  <c r="H43" i="1"/>
  <c r="H44" i="1"/>
  <c r="H48" i="1"/>
  <c r="H47" i="1"/>
  <c r="H46" i="1"/>
  <c r="G59" i="2"/>
  <c r="H40" i="1"/>
  <c r="H32" i="1"/>
  <c r="H49" i="1"/>
  <c r="H30" i="1"/>
  <c r="F28" i="2"/>
  <c r="G58" i="2" s="1"/>
  <c r="H33" i="1"/>
  <c r="H31" i="1"/>
  <c r="H24" i="1"/>
  <c r="H27" i="1"/>
  <c r="H20" i="2"/>
  <c r="H53" i="2" s="1"/>
  <c r="I53" i="2" s="1"/>
  <c r="A65" i="1"/>
  <c r="H38" i="1"/>
  <c r="H25" i="1"/>
  <c r="H29" i="1"/>
  <c r="F24" i="2"/>
  <c r="N24" i="2" s="1"/>
  <c r="M54" i="2"/>
  <c r="H22" i="1"/>
  <c r="H23" i="1"/>
  <c r="H28" i="1"/>
  <c r="H39" i="1"/>
  <c r="H26" i="1"/>
  <c r="H42" i="2"/>
  <c r="H41" i="2"/>
  <c r="I41" i="2" s="1"/>
  <c r="G39" i="2"/>
  <c r="H21" i="2"/>
  <c r="P22" i="2"/>
  <c r="G54" i="2" l="1"/>
  <c r="F54" i="2"/>
  <c r="N28" i="2"/>
  <c r="H28" i="2" s="1"/>
  <c r="C26" i="2"/>
  <c r="H24" i="2"/>
  <c r="H25" i="2" s="1"/>
  <c r="A15" i="2"/>
  <c r="H65" i="1"/>
  <c r="H67" i="1"/>
  <c r="H22" i="2"/>
  <c r="H55" i="2" s="1"/>
  <c r="I55" i="2" s="1"/>
  <c r="H59" i="2"/>
  <c r="I59" i="2" s="1"/>
  <c r="H54" i="2"/>
  <c r="G56" i="2"/>
  <c r="I20" i="2"/>
  <c r="I21" i="2"/>
  <c r="H39" i="2"/>
  <c r="C60" i="2" l="1"/>
  <c r="F26" i="2"/>
  <c r="I25" i="2"/>
  <c r="I54" i="2"/>
  <c r="I28" i="2"/>
  <c r="M57" i="2"/>
  <c r="F57" i="2" s="1"/>
  <c r="C57" i="2"/>
  <c r="I24" i="2"/>
  <c r="F42" i="2"/>
  <c r="Q15" i="2" s="1"/>
  <c r="I22" i="2"/>
  <c r="P15" i="2" l="1"/>
  <c r="F29" i="2"/>
  <c r="G57" i="2"/>
  <c r="N29" i="2"/>
  <c r="N26" i="2"/>
  <c r="H26" i="2" s="1"/>
  <c r="H29" i="2" s="1"/>
  <c r="M58" i="2" s="1"/>
  <c r="H56" i="2"/>
  <c r="I56" i="2" s="1"/>
  <c r="M60" i="2"/>
  <c r="F60" i="2" s="1"/>
  <c r="I42" i="2"/>
  <c r="I46" i="2" s="1"/>
  <c r="I48" i="2" s="1"/>
  <c r="Q16" i="2" l="1"/>
  <c r="A16" i="2" s="1"/>
  <c r="H58" i="2"/>
  <c r="I58" i="2" s="1"/>
  <c r="H27" i="2"/>
  <c r="I27" i="2" s="1"/>
  <c r="I26" i="2"/>
  <c r="N23" i="2"/>
  <c r="A13" i="2" s="1"/>
  <c r="G60" i="2"/>
  <c r="H60" i="2"/>
  <c r="I29" i="2" l="1"/>
  <c r="I31" i="2" s="1"/>
  <c r="I33" i="2" s="1"/>
  <c r="I35" i="2" s="1"/>
  <c r="I37" i="2" s="1"/>
  <c r="H57" i="2"/>
  <c r="I57" i="2" s="1"/>
  <c r="I60" i="2"/>
  <c r="I6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Sławek Zalewski</author>
    <author>s.zalewski</author>
  </authors>
  <commentList>
    <comment ref="I1" authorId="0" shapeId="0" xr:uid="{00000000-0006-0000-0000-000001000000}">
      <text>
        <r>
          <rPr>
            <b/>
            <sz val="8"/>
            <color indexed="81"/>
            <rFont val="Tahoma"/>
            <family val="2"/>
            <charset val="238"/>
          </rPr>
          <t>wybierz język kalkulatora</t>
        </r>
      </text>
    </comment>
    <comment ref="I2" authorId="0" shapeId="0" xr:uid="{00000000-0006-0000-0000-000002000000}">
      <text>
        <r>
          <rPr>
            <b/>
            <sz val="8"/>
            <color indexed="81"/>
            <rFont val="Tahoma"/>
            <family val="2"/>
            <charset val="238"/>
          </rPr>
          <t>wybierz rodzaj cen do kalkulacji</t>
        </r>
      </text>
    </comment>
    <comment ref="I3" authorId="0" shapeId="0" xr:uid="{00000000-0006-0000-0000-000003000000}">
      <text>
        <r>
          <rPr>
            <b/>
            <sz val="8"/>
            <color indexed="81"/>
            <rFont val="Tahoma"/>
            <family val="2"/>
            <charset val="238"/>
          </rPr>
          <t>wprowadź aktualny kurs PLN/EUR do wyceny w EUR</t>
        </r>
      </text>
    </comment>
    <comment ref="B4" authorId="0" shapeId="0" xr:uid="{00000000-0006-0000-0000-000004000000}">
      <text>
        <r>
          <rPr>
            <b/>
            <sz val="8"/>
            <color indexed="81"/>
            <rFont val="Tahoma"/>
            <family val="2"/>
            <charset val="238"/>
          </rPr>
          <t>wprowadź nazwę i dane dystrybutora</t>
        </r>
        <r>
          <rPr>
            <b/>
            <sz val="8"/>
            <color indexed="16"/>
            <rFont val="Tahoma"/>
            <family val="2"/>
            <charset val="238"/>
          </rPr>
          <t xml:space="preserve">
</t>
        </r>
        <r>
          <rPr>
            <sz val="8"/>
            <color indexed="23"/>
            <rFont val="Tahoma"/>
            <family val="2"/>
            <charset val="238"/>
          </rPr>
          <t>dane będą widoczne w dolnej częsci wydruku</t>
        </r>
      </text>
    </comment>
    <comment ref="I4" authorId="0" shapeId="0" xr:uid="{00000000-0006-0000-0000-000005000000}">
      <text>
        <r>
          <rPr>
            <b/>
            <sz val="8"/>
            <color indexed="81"/>
            <rFont val="Tahoma"/>
            <family val="2"/>
            <charset val="238"/>
          </rPr>
          <t xml:space="preserve">wprowadź rabat procentowy od cen cennikowych Alpol
- </t>
        </r>
        <r>
          <rPr>
            <sz val="8"/>
            <color indexed="23"/>
            <rFont val="Tahoma"/>
            <family val="2"/>
            <charset val="238"/>
          </rPr>
          <t>wpływa na wysokość cen produktów Alpol w kalkulacji
- nie wpływa na wysokość cen styropianu, łączników i materiałów uzupełniających
- wysokość tego rabatu nie jest widoczna na wydruku</t>
        </r>
      </text>
    </comment>
    <comment ref="I5" authorId="0" shapeId="0" xr:uid="{00000000-0006-0000-0000-000006000000}">
      <text>
        <r>
          <rPr>
            <b/>
            <sz val="8"/>
            <color indexed="81"/>
            <rFont val="Tahoma"/>
            <family val="2"/>
            <charset val="238"/>
          </rPr>
          <t xml:space="preserve">wprowadź procentowy narzut do cen dla produktów Alpol 
- </t>
        </r>
        <r>
          <rPr>
            <sz val="8"/>
            <color indexed="23"/>
            <rFont val="Tahoma"/>
            <family val="2"/>
            <charset val="238"/>
          </rPr>
          <t>wpływa na wysokość cen produktów Alpol w kalkulacji
- nie wpływa na wysokość cen styropianu, łączników i materiałów uzupełniających
- wysokość tego narzutu nie jest widoczna na wydruku</t>
        </r>
      </text>
    </comment>
    <comment ref="B10" authorId="0" shapeId="0" xr:uid="{00000000-0006-0000-0000-000007000000}">
      <text>
        <r>
          <rPr>
            <b/>
            <sz val="8"/>
            <color indexed="81"/>
            <rFont val="Tahoma"/>
            <family val="2"/>
            <charset val="238"/>
          </rPr>
          <t>wprowadź dane odbiorcy kalkulacji i obiektu budowlanego którego dotyczy kalkulacja</t>
        </r>
      </text>
    </comment>
    <comment ref="H11" authorId="0" shapeId="0" xr:uid="{00000000-0006-0000-0000-000008000000}">
      <text>
        <r>
          <rPr>
            <b/>
            <sz val="8"/>
            <color indexed="81"/>
            <rFont val="Tahoma"/>
            <family val="2"/>
            <charset val="238"/>
          </rPr>
          <t>wprowadź datę sprządzenia kalkulacji</t>
        </r>
      </text>
    </comment>
    <comment ref="D13" authorId="0" shapeId="0" xr:uid="{00000000-0006-0000-0000-000009000000}">
      <text>
        <r>
          <rPr>
            <b/>
            <sz val="8"/>
            <color indexed="81"/>
            <rFont val="Tahoma"/>
            <family val="2"/>
            <charset val="238"/>
          </rPr>
          <t xml:space="preserve">wprowadź wielkość docieplanej powierzchni
</t>
        </r>
        <r>
          <rPr>
            <sz val="8"/>
            <color indexed="23"/>
            <rFont val="Tahoma"/>
            <family val="2"/>
            <charset val="238"/>
          </rPr>
          <t>kalkulator przeliczy ilość i wartość materiałów po zaokrągleniu do pełnych opakowań</t>
        </r>
      </text>
    </comment>
    <comment ref="F13" authorId="0" shapeId="0" xr:uid="{00000000-0006-0000-0000-00000A000000}">
      <text>
        <r>
          <rPr>
            <b/>
            <sz val="8"/>
            <color indexed="81"/>
            <rFont val="Tahoma"/>
            <family val="2"/>
            <charset val="238"/>
          </rPr>
          <t xml:space="preserve">wybierz rodaj ocieplanej przegrody
</t>
        </r>
        <r>
          <rPr>
            <sz val="8"/>
            <color indexed="23"/>
            <rFont val="Tahoma"/>
            <family val="2"/>
            <charset val="238"/>
          </rPr>
          <t>wpływa na prawidłowy dobór ilości łączników mechanicznych</t>
        </r>
      </text>
    </comment>
    <comment ref="D14" authorId="0" shapeId="0" xr:uid="{00000000-0006-0000-0000-00000B000000}">
      <text>
        <r>
          <rPr>
            <b/>
            <sz val="8"/>
            <color indexed="81"/>
            <rFont val="Tahoma"/>
            <family val="2"/>
            <charset val="238"/>
          </rPr>
          <t xml:space="preserve">wybierz grubość ściany nośnej (konstrukcyjnej)
</t>
        </r>
      </text>
    </comment>
    <comment ref="F14" authorId="0" shapeId="0" xr:uid="{00000000-0006-0000-0000-00000C000000}">
      <text>
        <r>
          <rPr>
            <b/>
            <sz val="8"/>
            <color indexed="81"/>
            <rFont val="Tahoma"/>
            <family val="2"/>
            <charset val="238"/>
          </rPr>
          <t xml:space="preserve">wybierz rodzaj materiału konstrukcyjnego ocieplanej przegrody
</t>
        </r>
        <r>
          <rPr>
            <sz val="8"/>
            <color indexed="23"/>
            <rFont val="Tahoma"/>
            <family val="2"/>
            <charset val="238"/>
          </rPr>
          <t>wpływa na prawidłowy dobór kategorii łączników mechanicznych
(kategorie łączników A,B,C,D,E wg. EAD 330196-00-0604)</t>
        </r>
      </text>
    </comment>
    <comment ref="D15" authorId="0" shapeId="0" xr:uid="{00000000-0006-0000-0000-00000D000000}">
      <text>
        <r>
          <rPr>
            <b/>
            <sz val="8"/>
            <color indexed="81"/>
            <rFont val="Tahoma"/>
            <family val="2"/>
            <charset val="238"/>
          </rPr>
          <t>wybierz z listy lub wprowadź grubość warstwy izolacji termicznej</t>
        </r>
        <r>
          <rPr>
            <sz val="8"/>
            <color indexed="23"/>
            <rFont val="Tahoma"/>
            <family val="2"/>
            <charset val="238"/>
          </rPr>
          <t xml:space="preserve">
- aby wykonać kalkulację bez uwzgledniania grubości styropianu wpisz "0" 
   lub pozostaw pole nie wypełnione</t>
        </r>
      </text>
    </comment>
    <comment ref="F15" authorId="0" shapeId="0" xr:uid="{00000000-0006-0000-0000-00000E000000}">
      <text>
        <r>
          <rPr>
            <b/>
            <sz val="8"/>
            <color indexed="81"/>
            <rFont val="Tahoma"/>
            <family val="2"/>
            <charset val="238"/>
          </rPr>
          <t xml:space="preserve">wybierz rodzaj materiału izolacji termicznej
</t>
        </r>
        <r>
          <rPr>
            <sz val="8"/>
            <color indexed="23"/>
            <rFont val="Tahoma"/>
            <family val="2"/>
            <charset val="238"/>
          </rPr>
          <t>wpływa na prawidłowy dobór klejów i wartość współczynnika przenikania ciepła</t>
        </r>
      </text>
    </comment>
    <comment ref="A16" authorId="1" shapeId="0" xr:uid="{00000000-0006-0000-0000-00000F000000}">
      <text>
        <r>
          <rPr>
            <sz val="8"/>
            <color indexed="23"/>
            <rFont val="Tahoma"/>
            <family val="2"/>
            <charset val="238"/>
          </rPr>
          <t xml:space="preserve">Maksymalny współczynnik przenikania ciepła przez przegrodę </t>
        </r>
        <r>
          <rPr>
            <b/>
            <sz val="8"/>
            <color indexed="23"/>
            <rFont val="Tahoma"/>
            <family val="2"/>
            <charset val="238"/>
          </rPr>
          <t>Uc(max)</t>
        </r>
        <r>
          <rPr>
            <sz val="8"/>
            <color indexed="23"/>
            <rFont val="Tahoma"/>
            <family val="2"/>
            <charset val="238"/>
          </rPr>
          <t xml:space="preserve"> określa Rozporządzenie Ministra Infrastruktury z dn. 12 kwietnia 2002 r. w sprawie warunków technicznych (WT), jakim powinny odpowiadać budynki i ich usytuowanie - Załącznik nr 2: 
Dla ścian zewnętrzych Uc powinno wynościć:
- do 31.12.2020 - Uc(max) = 0,23 W/(m²∙K)
- od 01.01.2021 - Uc(max) = 0,20 W/(m²∙K)</t>
        </r>
      </text>
    </comment>
    <comment ref="C20" authorId="0" shapeId="0" xr:uid="{00000000-0006-0000-0000-000010000000}">
      <text>
        <r>
          <rPr>
            <b/>
            <sz val="8"/>
            <color indexed="81"/>
            <rFont val="Tahoma"/>
            <family val="2"/>
            <charset val="238"/>
          </rPr>
          <t xml:space="preserve">wybierz z listy rodzaj kleju do przyklejania izolacji
</t>
        </r>
        <r>
          <rPr>
            <sz val="8"/>
            <color indexed="23"/>
            <rFont val="Tahoma"/>
            <family val="2"/>
            <charset val="238"/>
          </rPr>
          <t xml:space="preserve">uwaga - klej zimowy umożliwia pracę w obniżonych temperaturach (od 0 </t>
        </r>
        <r>
          <rPr>
            <sz val="8"/>
            <color indexed="23"/>
            <rFont val="Arial"/>
            <family val="2"/>
            <charset val="238"/>
          </rPr>
          <t>°C)</t>
        </r>
      </text>
    </comment>
    <comment ref="F20" authorId="0" shapeId="0" xr:uid="{00000000-0006-0000-0000-000011000000}">
      <text>
        <r>
          <rPr>
            <b/>
            <sz val="8"/>
            <color indexed="81"/>
            <rFont val="Tahoma"/>
            <family val="2"/>
            <charset val="238"/>
          </rPr>
          <t xml:space="preserve">wybierz z listy wielkość zużycia kleju do klejenia styropianu
</t>
        </r>
        <r>
          <rPr>
            <sz val="8"/>
            <color indexed="23"/>
            <rFont val="Tahoma"/>
            <family val="2"/>
            <charset val="238"/>
          </rPr>
          <t>3,0 kg/m</t>
        </r>
        <r>
          <rPr>
            <sz val="8"/>
            <color indexed="23"/>
            <rFont val="Czcionka tekstu podstawowego"/>
            <charset val="238"/>
          </rPr>
          <t>²</t>
        </r>
        <r>
          <rPr>
            <sz val="8"/>
            <color indexed="23"/>
            <rFont val="Tahoma"/>
            <family val="2"/>
            <charset val="238"/>
          </rPr>
          <t xml:space="preserve"> - zużycie dla bardzo równego podłoża
3,5 kg/m</t>
        </r>
        <r>
          <rPr>
            <sz val="8"/>
            <color indexed="23"/>
            <rFont val="Czcionka tekstu podstawowego"/>
            <charset val="238"/>
          </rPr>
          <t>²</t>
        </r>
        <r>
          <rPr>
            <sz val="8"/>
            <color indexed="23"/>
            <rFont val="Tahoma"/>
            <family val="2"/>
            <charset val="238"/>
          </rPr>
          <t xml:space="preserve"> - zużycie dla podłoża o niewielkich nierównościach (standardowe)
4,0 kg/m</t>
        </r>
        <r>
          <rPr>
            <sz val="8"/>
            <color indexed="23"/>
            <rFont val="Czcionka tekstu podstawowego"/>
            <charset val="238"/>
          </rPr>
          <t>²</t>
        </r>
        <r>
          <rPr>
            <sz val="8"/>
            <color indexed="23"/>
            <rFont val="Tahoma"/>
            <family val="2"/>
            <charset val="238"/>
          </rPr>
          <t xml:space="preserve"> - zużycie dla podłoża o większych nierównościach płaszczyzny (do 1,5 cm)</t>
        </r>
      </text>
    </comment>
    <comment ref="K20" authorId="0" shapeId="0" xr:uid="{00000000-0006-0000-0000-000012000000}">
      <text>
        <r>
          <rPr>
            <b/>
            <sz val="8"/>
            <color indexed="81"/>
            <rFont val="Tahoma"/>
            <family val="2"/>
            <charset val="238"/>
          </rPr>
          <t xml:space="preserve">wprowadź indywidualny rabat procentowy dla tej pozycji
</t>
        </r>
        <r>
          <rPr>
            <b/>
            <sz val="8"/>
            <color indexed="23"/>
            <rFont val="Tahoma"/>
            <family val="2"/>
            <charset val="238"/>
          </rPr>
          <t xml:space="preserve">- </t>
        </r>
        <r>
          <rPr>
            <sz val="8"/>
            <color indexed="23"/>
            <rFont val="Tahoma"/>
            <family val="2"/>
            <charset val="238"/>
          </rPr>
          <t>wpływa na cenę pozycji w kalkulacji
- puste pole oznacza rabat zerowy
- wysokość tego rabatu nie jest widoczna na wydruku</t>
        </r>
      </text>
    </comment>
    <comment ref="C21" authorId="0" shapeId="0" xr:uid="{00000000-0006-0000-0000-000013000000}">
      <text>
        <r>
          <rPr>
            <b/>
            <sz val="8"/>
            <color indexed="81"/>
            <rFont val="Tahoma"/>
            <family val="2"/>
            <charset val="238"/>
          </rPr>
          <t>wybierz z listy rodzaj siatki zbrojącej</t>
        </r>
      </text>
    </comment>
    <comment ref="F21" authorId="0" shapeId="0" xr:uid="{00000000-0006-0000-0000-000014000000}">
      <text>
        <r>
          <rPr>
            <b/>
            <sz val="8"/>
            <color indexed="81"/>
            <rFont val="Tahoma"/>
            <family val="2"/>
            <charset val="238"/>
          </rPr>
          <t xml:space="preserve">wybierz z listy wielkość zakładanego zużycia siatki zbrojącej
</t>
        </r>
        <r>
          <rPr>
            <sz val="8"/>
            <color indexed="23"/>
            <rFont val="Tahoma"/>
            <family val="2"/>
            <charset val="238"/>
          </rPr>
          <t>1,10 - zużycie labolatoryjne lub dla 1m</t>
        </r>
        <r>
          <rPr>
            <sz val="8"/>
            <color indexed="23"/>
            <rFont val="Czcionka tekstu podstawowego"/>
            <charset val="238"/>
          </rPr>
          <t>²</t>
        </r>
        <r>
          <rPr>
            <sz val="8"/>
            <color indexed="23"/>
            <rFont val="Tahoma"/>
            <family val="2"/>
            <charset val="238"/>
          </rPr>
          <t xml:space="preserve"> ocieplenia "wyciętego" z większej powierzchni
1,15 - zużycie właściwe dla większości typowych budynków mieszkalnych
1,20 - zużycie właściwe dla budynków o złożonej architekturze np. dużej liczbie okien</t>
        </r>
      </text>
    </comment>
    <comment ref="K21" authorId="0" shapeId="0" xr:uid="{00000000-0006-0000-0000-000015000000}">
      <text>
        <r>
          <rPr>
            <b/>
            <sz val="8"/>
            <color indexed="81"/>
            <rFont val="Tahoma"/>
            <family val="2"/>
            <charset val="238"/>
          </rPr>
          <t>wprowadź indywidualny rabat procentowy dla tej pozycji</t>
        </r>
        <r>
          <rPr>
            <sz val="8"/>
            <color indexed="81"/>
            <rFont val="Tahoma"/>
            <family val="2"/>
            <charset val="238"/>
          </rPr>
          <t xml:space="preserve">
</t>
        </r>
        <r>
          <rPr>
            <sz val="8"/>
            <color indexed="23"/>
            <rFont val="Tahoma"/>
            <family val="2"/>
            <charset val="238"/>
          </rPr>
          <t>- wpływa na cenę pozycji w kalkulacji
- puste pole oznacza rabat zerowy
- wysokość tego rabatu nie jest widoczna na wydruku</t>
        </r>
      </text>
    </comment>
    <comment ref="C22" authorId="0" shapeId="0" xr:uid="{00000000-0006-0000-0000-000016000000}">
      <text>
        <r>
          <rPr>
            <b/>
            <sz val="8"/>
            <color indexed="81"/>
            <rFont val="Tahoma"/>
            <family val="2"/>
            <charset val="238"/>
          </rPr>
          <t>wybierz z listy rodzaj kleju do wykonywania warstwy zbrojącej</t>
        </r>
        <r>
          <rPr>
            <sz val="8"/>
            <color indexed="81"/>
            <rFont val="Tahoma"/>
            <family val="2"/>
            <charset val="238"/>
          </rPr>
          <t xml:space="preserve">
</t>
        </r>
        <r>
          <rPr>
            <sz val="8"/>
            <color indexed="23"/>
            <rFont val="Tahoma"/>
            <family val="2"/>
            <charset val="238"/>
          </rPr>
          <t>uwaga - klej zimowy umożliwia pracę w obniżonych temperaturach (od 0 °C)</t>
        </r>
      </text>
    </comment>
    <comment ref="F22" authorId="0" shapeId="0" xr:uid="{00000000-0006-0000-0000-000017000000}">
      <text>
        <r>
          <rPr>
            <b/>
            <sz val="8"/>
            <color indexed="81"/>
            <rFont val="Tahoma"/>
            <family val="2"/>
            <charset val="238"/>
          </rPr>
          <t xml:space="preserve">wybierz z listy wielkość zużycia kleju do zatapiania siatki zbrojącej
</t>
        </r>
        <r>
          <rPr>
            <sz val="8"/>
            <color indexed="23"/>
            <rFont val="Tahoma"/>
            <family val="2"/>
            <charset val="238"/>
          </rPr>
          <t>3,5 kg/m</t>
        </r>
        <r>
          <rPr>
            <sz val="8"/>
            <color indexed="23"/>
            <rFont val="Czcionka tekstu podstawowego"/>
            <charset val="238"/>
          </rPr>
          <t>²</t>
        </r>
        <r>
          <rPr>
            <sz val="8"/>
            <color indexed="23"/>
            <rFont val="Tahoma"/>
            <family val="2"/>
            <charset val="238"/>
          </rPr>
          <t xml:space="preserve"> - zużycie dla bardzo równego podłoża
4,0  kg/m</t>
        </r>
        <r>
          <rPr>
            <sz val="8"/>
            <color indexed="23"/>
            <rFont val="Czcionka tekstu podstawowego"/>
            <charset val="238"/>
          </rPr>
          <t>²</t>
        </r>
        <r>
          <rPr>
            <sz val="8"/>
            <color indexed="23"/>
            <rFont val="Tahoma"/>
            <family val="2"/>
            <charset val="238"/>
          </rPr>
          <t xml:space="preserve"> - zużycie dla podłoża o niewielkich nierównościach (standardowe)
4,5 kg/m</t>
        </r>
        <r>
          <rPr>
            <sz val="8"/>
            <color indexed="23"/>
            <rFont val="Czcionka tekstu podstawowego"/>
            <charset val="238"/>
          </rPr>
          <t>²</t>
        </r>
        <r>
          <rPr>
            <sz val="8"/>
            <color indexed="23"/>
            <rFont val="Tahoma"/>
            <family val="2"/>
            <charset val="238"/>
          </rPr>
          <t xml:space="preserve"> - zużycie dla podłoża o większych nierównościach płaszczyzny</t>
        </r>
      </text>
    </comment>
    <comment ref="K22" authorId="0" shapeId="0" xr:uid="{00000000-0006-0000-0000-000018000000}">
      <text>
        <r>
          <rPr>
            <b/>
            <sz val="8"/>
            <color indexed="81"/>
            <rFont val="Tahoma"/>
            <family val="2"/>
            <charset val="238"/>
          </rPr>
          <t>wprowadź indywidualny rabat procentowy dla tej pozycji</t>
        </r>
        <r>
          <rPr>
            <sz val="8"/>
            <color indexed="81"/>
            <rFont val="Tahoma"/>
            <family val="2"/>
            <charset val="238"/>
          </rPr>
          <t xml:space="preserve">
</t>
        </r>
        <r>
          <rPr>
            <sz val="8"/>
            <color indexed="23"/>
            <rFont val="Tahoma"/>
            <family val="2"/>
            <charset val="238"/>
          </rPr>
          <t>- wpływa na cenę pozycji w kalkulacji
- puste pole oznacza rabat zerowy
- wysokość tego rabatu nie jest widoczna na wydruku</t>
        </r>
      </text>
    </comment>
    <comment ref="C24" authorId="0" shapeId="0" xr:uid="{00000000-0006-0000-0000-000019000000}">
      <text>
        <r>
          <rPr>
            <b/>
            <sz val="8"/>
            <color indexed="81"/>
            <rFont val="Tahoma"/>
            <family val="2"/>
            <charset val="238"/>
          </rPr>
          <t>wybierz z listy rodzaj tynku</t>
        </r>
        <r>
          <rPr>
            <sz val="8"/>
            <color indexed="23"/>
            <rFont val="Tahoma"/>
            <family val="2"/>
            <charset val="238"/>
          </rPr>
          <t xml:space="preserve">
- dla tynków mineralnych uziarnienie wybranego tynku
  wpływa w pewnym stopniu na wielkość zużycia farby elewacyjnej</t>
        </r>
      </text>
    </comment>
    <comment ref="K24" authorId="0" shapeId="0" xr:uid="{00000000-0006-0000-0000-00001A000000}">
      <text>
        <r>
          <rPr>
            <b/>
            <sz val="8"/>
            <color indexed="81"/>
            <rFont val="Tahoma"/>
            <family val="2"/>
            <charset val="238"/>
          </rPr>
          <t>wprowadź indywidualny rabat procentowy dla tej pozycji</t>
        </r>
        <r>
          <rPr>
            <sz val="8"/>
            <color indexed="81"/>
            <rFont val="Tahoma"/>
            <family val="2"/>
            <charset val="238"/>
          </rPr>
          <t xml:space="preserve">
</t>
        </r>
        <r>
          <rPr>
            <sz val="8"/>
            <color indexed="23"/>
            <rFont val="Tahoma"/>
            <family val="2"/>
            <charset val="238"/>
          </rPr>
          <t>- wpływa na cenę pozycji w kalkulacji
- puste pole oznacza rabat zerowy
- wysokość tego rabatu nie jest widoczna na wydruku</t>
        </r>
      </text>
    </comment>
    <comment ref="L24" authorId="0" shapeId="0" xr:uid="{00000000-0006-0000-0000-00001B000000}">
      <text>
        <r>
          <rPr>
            <b/>
            <sz val="8"/>
            <color indexed="81"/>
            <rFont val="Tahoma"/>
            <family val="2"/>
            <charset val="238"/>
          </rPr>
          <t xml:space="preserve">wprowadź cenę za 1 kg tynku
</t>
        </r>
        <r>
          <rPr>
            <sz val="8"/>
            <color indexed="23"/>
            <rFont val="Tahoma"/>
            <family val="2"/>
            <charset val="238"/>
          </rPr>
          <t>- opcja dostępna dla kolorów tynków grupy IV
- wysokość tej ceny nie jest widoczna na wydruku</t>
        </r>
      </text>
    </comment>
    <comment ref="C25" authorId="0" shapeId="0" xr:uid="{00000000-0006-0000-0000-00001C000000}">
      <text>
        <r>
          <rPr>
            <b/>
            <sz val="8"/>
            <color indexed="81"/>
            <rFont val="Tahoma"/>
            <family val="2"/>
            <charset val="238"/>
          </rPr>
          <t xml:space="preserve">wybierz grupę cenową tynku
</t>
        </r>
        <r>
          <rPr>
            <sz val="8"/>
            <color indexed="23"/>
            <rFont val="Tahoma"/>
            <family val="2"/>
            <charset val="238"/>
          </rPr>
          <t>grupa I - bez dopłat
grupa II
grupa III
grupa IV - cena indywidualna</t>
        </r>
        <r>
          <rPr>
            <b/>
            <sz val="8"/>
            <color indexed="81"/>
            <rFont val="Tahoma"/>
            <family val="2"/>
            <charset val="238"/>
          </rPr>
          <t xml:space="preserve">
</t>
        </r>
        <r>
          <rPr>
            <sz val="8"/>
            <color indexed="23"/>
            <rFont val="Tahoma"/>
            <family val="2"/>
            <charset val="238"/>
          </rPr>
          <t>dla tynków mineralnych opcja nie jest dostęna</t>
        </r>
      </text>
    </comment>
    <comment ref="K26" authorId="0" shapeId="0" xr:uid="{00000000-0006-0000-0000-00001D000000}">
      <text>
        <r>
          <rPr>
            <b/>
            <sz val="8"/>
            <color indexed="81"/>
            <rFont val="Tahoma"/>
            <family val="2"/>
            <charset val="238"/>
          </rPr>
          <t>wprowadź indywidualny rabat procentowy dla tej pozycji</t>
        </r>
        <r>
          <rPr>
            <sz val="8"/>
            <color indexed="81"/>
            <rFont val="Tahoma"/>
            <family val="2"/>
            <charset val="238"/>
          </rPr>
          <t xml:space="preserve">
</t>
        </r>
        <r>
          <rPr>
            <sz val="8"/>
            <color indexed="23"/>
            <rFont val="Tahoma"/>
            <family val="2"/>
            <charset val="238"/>
          </rPr>
          <t>- wpływa na cenę pozycji w kalkulacji
- puste pole oznacza rabat zerowy
- wysokość tego rabatu nie jest widoczna na wydruku</t>
        </r>
      </text>
    </comment>
    <comment ref="L26" authorId="0" shapeId="0" xr:uid="{00000000-0006-0000-0000-00001E000000}">
      <text>
        <r>
          <rPr>
            <b/>
            <sz val="8"/>
            <color indexed="81"/>
            <rFont val="Tahoma"/>
            <family val="2"/>
            <charset val="238"/>
          </rPr>
          <t xml:space="preserve">wprowadź cenę za 1 kg gruntu
</t>
        </r>
        <r>
          <rPr>
            <sz val="8"/>
            <color indexed="23"/>
            <rFont val="Tahoma"/>
            <family val="2"/>
            <charset val="238"/>
          </rPr>
          <t>- opcja dostępna dla kolorów gruntów grupy IV
- wysokość tej ceny nie jest widoczna na wydruku</t>
        </r>
      </text>
    </comment>
    <comment ref="C27" authorId="0" shapeId="0" xr:uid="{00000000-0006-0000-0000-00001F000000}">
      <text>
        <r>
          <rPr>
            <b/>
            <sz val="8"/>
            <color indexed="81"/>
            <rFont val="Tahoma"/>
            <family val="2"/>
            <charset val="238"/>
          </rPr>
          <t xml:space="preserve">wybierz grupę cenową gruntu
</t>
        </r>
        <r>
          <rPr>
            <sz val="8"/>
            <color indexed="23"/>
            <rFont val="Tahoma"/>
            <family val="2"/>
            <charset val="238"/>
          </rPr>
          <t>biały - bez dopłat
grupa I
grupa II
grupa III
grupa IV - cena indywidualna</t>
        </r>
        <r>
          <rPr>
            <b/>
            <sz val="8"/>
            <color indexed="81"/>
            <rFont val="Tahoma"/>
            <family val="2"/>
            <charset val="238"/>
          </rPr>
          <t xml:space="preserve">
</t>
        </r>
        <r>
          <rPr>
            <sz val="8"/>
            <color indexed="23"/>
            <rFont val="Tahoma"/>
            <family val="2"/>
            <charset val="238"/>
          </rPr>
          <t>dla gruntów pod tynki mineralne opcja nie jest dostępna</t>
        </r>
      </text>
    </comment>
    <comment ref="C28" authorId="0" shapeId="0" xr:uid="{00000000-0006-0000-0000-000020000000}">
      <text>
        <r>
          <rPr>
            <b/>
            <sz val="8"/>
            <color indexed="81"/>
            <rFont val="Tahoma"/>
            <family val="2"/>
            <charset val="238"/>
          </rPr>
          <t xml:space="preserve">wybierz rodzaj farby elewacyjnej
</t>
        </r>
        <r>
          <rPr>
            <sz val="8"/>
            <color indexed="23"/>
            <rFont val="Tahoma"/>
            <family val="2"/>
            <charset val="238"/>
          </rPr>
          <t>opcja dostępna po wybraniu tynków mineralnych</t>
        </r>
      </text>
    </comment>
    <comment ref="K28" authorId="0" shapeId="0" xr:uid="{00000000-0006-0000-0000-000021000000}">
      <text>
        <r>
          <rPr>
            <b/>
            <sz val="8"/>
            <color indexed="81"/>
            <rFont val="Tahoma"/>
            <family val="2"/>
            <charset val="238"/>
          </rPr>
          <t>wprowadź indywidualny rabat procentowy dla tej pozycji</t>
        </r>
        <r>
          <rPr>
            <sz val="8"/>
            <color indexed="81"/>
            <rFont val="Tahoma"/>
            <family val="2"/>
            <charset val="238"/>
          </rPr>
          <t xml:space="preserve">
</t>
        </r>
        <r>
          <rPr>
            <sz val="8"/>
            <color indexed="23"/>
            <rFont val="Tahoma"/>
            <family val="2"/>
            <charset val="238"/>
          </rPr>
          <t>- wpływa na cenę pozycji w kalkulacji
- puste pole oznacza rabat zerowy
- wysokość tego rabatu nie jest widoczna na wydruku</t>
        </r>
      </text>
    </comment>
    <comment ref="L28" authorId="0" shapeId="0" xr:uid="{00000000-0006-0000-0000-000022000000}">
      <text>
        <r>
          <rPr>
            <b/>
            <sz val="8"/>
            <color indexed="81"/>
            <rFont val="Tahoma"/>
            <family val="2"/>
            <charset val="238"/>
          </rPr>
          <t xml:space="preserve">wprowadź cenę za 1 litr farby
</t>
        </r>
        <r>
          <rPr>
            <sz val="8"/>
            <color indexed="23"/>
            <rFont val="Tahoma"/>
            <family val="2"/>
            <charset val="238"/>
          </rPr>
          <t>- opcja dostępna dla kolorów farb grupy IV
- wysokość tej ceny nie jest widoczna na wydruku</t>
        </r>
      </text>
    </comment>
    <comment ref="C29" authorId="0" shapeId="0" xr:uid="{00000000-0006-0000-0000-000023000000}">
      <text>
        <r>
          <rPr>
            <b/>
            <sz val="8"/>
            <color indexed="81"/>
            <rFont val="Tahoma"/>
            <family val="2"/>
            <charset val="238"/>
          </rPr>
          <t>wybierz grupę kolorystyczną farby</t>
        </r>
        <r>
          <rPr>
            <sz val="8"/>
            <color indexed="81"/>
            <rFont val="Tahoma"/>
            <family val="2"/>
            <charset val="238"/>
          </rPr>
          <t xml:space="preserve">
</t>
        </r>
        <r>
          <rPr>
            <sz val="8"/>
            <color indexed="23"/>
            <rFont val="Tahoma"/>
            <family val="2"/>
            <charset val="238"/>
          </rPr>
          <t>grupa I - bez dopłat
grupa II
grupa III
grupa IV - cena indywidualna</t>
        </r>
        <r>
          <rPr>
            <sz val="8"/>
            <color indexed="81"/>
            <rFont val="Tahoma"/>
            <family val="2"/>
            <charset val="238"/>
          </rPr>
          <t xml:space="preserve">
</t>
        </r>
        <r>
          <rPr>
            <sz val="8"/>
            <color indexed="23"/>
            <rFont val="Tahoma"/>
            <family val="2"/>
            <charset val="238"/>
          </rPr>
          <t>opcja dostępna po wybraniu tynków mineralnych</t>
        </r>
      </text>
    </comment>
    <comment ref="F35" authorId="0" shapeId="0" xr:uid="{00000000-0006-0000-0000-000024000000}">
      <text>
        <r>
          <rPr>
            <b/>
            <sz val="8"/>
            <color indexed="81"/>
            <rFont val="Tahoma"/>
            <family val="2"/>
            <charset val="238"/>
          </rPr>
          <t xml:space="preserve">wprowadź procentowy rabat ogólny na system
</t>
        </r>
        <r>
          <rPr>
            <sz val="8"/>
            <color indexed="23"/>
            <rFont val="Tahoma"/>
            <family val="2"/>
            <charset val="238"/>
          </rPr>
          <t>wpływa na wartość łączną produktów Alpol oraz na ceny produktów Alpol w zestawieniu ilościowo-wartościowym materiałów</t>
        </r>
      </text>
    </comment>
    <comment ref="F41" authorId="0" shapeId="0" xr:uid="{00000000-0006-0000-0000-000025000000}">
      <text>
        <r>
          <rPr>
            <b/>
            <sz val="8"/>
            <color indexed="81"/>
            <rFont val="Tahoma"/>
            <family val="2"/>
            <charset val="238"/>
          </rPr>
          <t>wybierz z listy wielkość zakładanego zużycia styropianu</t>
        </r>
        <r>
          <rPr>
            <sz val="8"/>
            <color indexed="81"/>
            <rFont val="Tahoma"/>
            <family val="2"/>
            <charset val="238"/>
          </rPr>
          <t xml:space="preserve">
</t>
        </r>
        <r>
          <rPr>
            <sz val="8"/>
            <color indexed="23"/>
            <rFont val="Tahoma"/>
            <family val="2"/>
            <charset val="238"/>
          </rPr>
          <t>1,00 - zużycie labolatoryjne lub dla 1m2 ocieplenia "wyciętego" z większej powierzchni
1,03 - zużycie właściwe dla większości typowych budynków mieszkalnych
1,05 - zużycie właściwe dla budynków o złożonej architekturze np. dużej liczbie okien</t>
        </r>
      </text>
    </comment>
    <comment ref="K41" authorId="0" shapeId="0" xr:uid="{00000000-0006-0000-0000-000026000000}">
      <text>
        <r>
          <rPr>
            <b/>
            <sz val="8"/>
            <color indexed="81"/>
            <rFont val="Tahoma"/>
            <family val="2"/>
            <charset val="238"/>
          </rPr>
          <t>wprowadź rabat procentowy od ceny styropianu</t>
        </r>
        <r>
          <rPr>
            <sz val="8"/>
            <color indexed="81"/>
            <rFont val="Tahoma"/>
            <family val="2"/>
            <charset val="238"/>
          </rPr>
          <t xml:space="preserve">
</t>
        </r>
        <r>
          <rPr>
            <sz val="8"/>
            <color indexed="23"/>
            <rFont val="Tahoma"/>
            <family val="2"/>
            <charset val="238"/>
          </rPr>
          <t>- wpływa na wysokość ceny styropianu w kalkulacji
- rabat liczony jest od ceny wprowadzonej obok w polu "Cena netto"
- wielkość procentowa tego rabatu nie jest widoczna na wydruku</t>
        </r>
      </text>
    </comment>
    <comment ref="L41" authorId="0" shapeId="0" xr:uid="{00000000-0006-0000-0000-000027000000}">
      <text>
        <r>
          <rPr>
            <b/>
            <sz val="8"/>
            <color indexed="81"/>
            <rFont val="Tahoma"/>
            <family val="2"/>
            <charset val="238"/>
          </rPr>
          <t xml:space="preserve">wprowadź cenę netto 1 m2 styropianu
</t>
        </r>
        <r>
          <rPr>
            <sz val="8"/>
            <color indexed="23"/>
            <rFont val="Tahoma"/>
            <family val="2"/>
            <charset val="238"/>
          </rPr>
          <t>- w przypadku nie ustalonej grubości izolacji,
  opcja nie jest aktywna
- wysokość tej ceny nie jest widoczna na wydruku</t>
        </r>
      </text>
    </comment>
    <comment ref="K42" authorId="0" shapeId="0" xr:uid="{00000000-0006-0000-0000-000028000000}">
      <text>
        <r>
          <rPr>
            <b/>
            <sz val="8"/>
            <color indexed="81"/>
            <rFont val="Tahoma"/>
            <family val="2"/>
            <charset val="238"/>
          </rPr>
          <t>wprowadź rabat procentowy od ceny łączników</t>
        </r>
        <r>
          <rPr>
            <sz val="8"/>
            <color indexed="81"/>
            <rFont val="Tahoma"/>
            <family val="2"/>
            <charset val="238"/>
          </rPr>
          <t xml:space="preserve">
</t>
        </r>
        <r>
          <rPr>
            <sz val="8"/>
            <color indexed="23"/>
            <rFont val="Tahoma"/>
            <family val="2"/>
            <charset val="238"/>
          </rPr>
          <t>- wpływa na wysokość ceny łączników mechanicznych w kalkulacji
- rabat liczony jest od ceny wprowadzonej obok w polu "Cena netto"
- wielkość procentowa tego rabatu nie jest widoczna na wydruku</t>
        </r>
      </text>
    </comment>
    <comment ref="L42" authorId="0" shapeId="0" xr:uid="{00000000-0006-0000-0000-000029000000}">
      <text>
        <r>
          <rPr>
            <b/>
            <sz val="8"/>
            <color indexed="81"/>
            <rFont val="Tahoma"/>
            <family val="2"/>
            <charset val="238"/>
          </rPr>
          <t xml:space="preserve">wprowadź cenę netto jednego łącznika
</t>
        </r>
        <r>
          <rPr>
            <sz val="8"/>
            <color indexed="23"/>
            <rFont val="Tahoma"/>
            <family val="2"/>
            <charset val="238"/>
          </rPr>
          <t>- wysokość tej ceny nie jest widoczna na wydruku</t>
        </r>
      </text>
    </comment>
    <comment ref="H44" authorId="0" shapeId="0" xr:uid="{00000000-0006-0000-0000-00002A000000}">
      <text>
        <r>
          <rPr>
            <b/>
            <sz val="8"/>
            <color indexed="81"/>
            <rFont val="Tahoma"/>
            <family val="2"/>
            <charset val="238"/>
          </rPr>
          <t xml:space="preserve">wprowadź szacunkową cenę materiałów uzupełniających
</t>
        </r>
        <r>
          <rPr>
            <sz val="8"/>
            <color indexed="23"/>
            <rFont val="Tahoma"/>
            <family val="2"/>
            <charset val="238"/>
          </rPr>
          <t>koszt narożników, listew, profili, silikonu, dodatkowej siatki zbrojącej, itp. w przeliczeniu na 1 m2 powierzchni docieplenia</t>
        </r>
      </text>
    </comment>
  </commentList>
</comments>
</file>

<file path=xl/sharedStrings.xml><?xml version="1.0" encoding="utf-8"?>
<sst xmlns="http://schemas.openxmlformats.org/spreadsheetml/2006/main" count="819" uniqueCount="705">
  <si>
    <t>zużycie</t>
  </si>
  <si>
    <t>jedn.</t>
  </si>
  <si>
    <t>cena</t>
  </si>
  <si>
    <t>m2</t>
  </si>
  <si>
    <t>kg</t>
  </si>
  <si>
    <t>litr</t>
  </si>
  <si>
    <t>dopłaty do gruntów</t>
  </si>
  <si>
    <t>[%]</t>
  </si>
  <si>
    <t>data</t>
  </si>
  <si>
    <t>Materiały konstrukcyjne ścian</t>
  </si>
  <si>
    <t>Rodzaje budynku</t>
  </si>
  <si>
    <t>ilość</t>
  </si>
  <si>
    <t>łączników</t>
  </si>
  <si>
    <t>grubość</t>
  </si>
  <si>
    <t>grubości</t>
  </si>
  <si>
    <t>izolacji</t>
  </si>
  <si>
    <t>współczynnik</t>
  </si>
  <si>
    <t>zużycia</t>
  </si>
  <si>
    <t>farby</t>
  </si>
  <si>
    <t xml:space="preserve">w zależnosci </t>
  </si>
  <si>
    <t>od tynku</t>
  </si>
  <si>
    <t>grunty w zalezności od tynku</t>
  </si>
  <si>
    <t>z rabatem</t>
  </si>
  <si>
    <t>10 litr</t>
  </si>
  <si>
    <t>Język</t>
  </si>
  <si>
    <t>cegła ceramiczna szczelinowa</t>
  </si>
  <si>
    <t>grupa I - kolory pastelowe (bez dopłaty)</t>
  </si>
  <si>
    <t>biały - bez dopłaty</t>
  </si>
  <si>
    <t>netto</t>
  </si>
  <si>
    <t>Nazwa odbiorcy kalkulacji</t>
  </si>
  <si>
    <t>Polski</t>
  </si>
  <si>
    <t>Kalkulator systemu ociepleń</t>
  </si>
  <si>
    <t>Kalkulacja wg. cen:</t>
  </si>
  <si>
    <t>brutto</t>
  </si>
  <si>
    <t>Nazwa dystrybutora Alpol</t>
  </si>
  <si>
    <t>Adres dystrybutora, telefon, kontakt</t>
  </si>
  <si>
    <t>Rabat dustrybutora [%]:</t>
  </si>
  <si>
    <t>Narzut dystrybutora [%]:</t>
  </si>
  <si>
    <t>Kalkulacja dla:</t>
  </si>
  <si>
    <t xml:space="preserve">Nazwa inwestycji, Ulica, Miejscowość </t>
  </si>
  <si>
    <t>data sporządzenia</t>
  </si>
  <si>
    <t>docieplenie ścian zewnętrznych z zastosowaniem styropianu</t>
  </si>
  <si>
    <t>Rodzaj i parametry ściany:</t>
  </si>
  <si>
    <t>bez tynku - wysokość od 20 do 25 m.</t>
  </si>
  <si>
    <t>z tynkiem - wysokość od 20 do 25 m.</t>
  </si>
  <si>
    <t>Materiał konstrukcyjny ściany:</t>
  </si>
  <si>
    <t>cegła pełna</t>
  </si>
  <si>
    <t>cegła silikatowa szczelinowa</t>
  </si>
  <si>
    <t>pustak z ceramiki poryzowanej</t>
  </si>
  <si>
    <t>bloczki z betonu komórkowego</t>
  </si>
  <si>
    <t>Zużycie</t>
  </si>
  <si>
    <t>na</t>
  </si>
  <si>
    <t>Jedn.</t>
  </si>
  <si>
    <t>Cena</t>
  </si>
  <si>
    <t>Rabaty</t>
  </si>
  <si>
    <t>od pozycji</t>
  </si>
  <si>
    <t>Materiały warstwy izolacyjno- zbrojeniowej</t>
  </si>
  <si>
    <t>Klej do przyklejania płyt</t>
  </si>
  <si>
    <t>Siatka zbrojąca</t>
  </si>
  <si>
    <t>Klej do zatapiania siatki</t>
  </si>
  <si>
    <t>Materiały wyprawy elewacyjnej</t>
  </si>
  <si>
    <t>Tynk dekoracyjny</t>
  </si>
  <si>
    <t>Dopłata do koloru tynku</t>
  </si>
  <si>
    <t>Grunt podtynkowy</t>
  </si>
  <si>
    <t>Dopłata do koloru gruntu</t>
  </si>
  <si>
    <t>Farba elewacyjna</t>
  </si>
  <si>
    <t>Dopłata do koloru farby</t>
  </si>
  <si>
    <t>grupa IV - wycena indywidualna</t>
  </si>
  <si>
    <t>RAZEM:</t>
  </si>
  <si>
    <t>RABAT NA SYSTEM:</t>
  </si>
  <si>
    <t>RAZEM MATERIAŁY ALPOL Z RABATEM:</t>
  </si>
  <si>
    <t>DYSTRYBUCJA:</t>
  </si>
  <si>
    <t>Materiał izolacji termicznej</t>
  </si>
  <si>
    <t>łączniki mechaniczne i materiały uzupełniające</t>
  </si>
  <si>
    <t>Rabat</t>
  </si>
  <si>
    <t>Izolacja termiczna</t>
  </si>
  <si>
    <t>Łączniki mechaniczne</t>
  </si>
  <si>
    <t>cm</t>
  </si>
  <si>
    <t>Materiały uzupełniające</t>
  </si>
  <si>
    <t>ZESTAWIENIE ILOŚCIOWO-WARTOŚCIOWE MATERIAŁÓW</t>
  </si>
  <si>
    <t>ceny materiałów z rabatem, po przeliczeniu na pełne opakowania</t>
  </si>
  <si>
    <t>Materiały na</t>
  </si>
  <si>
    <t>ceny netto</t>
  </si>
  <si>
    <t>ceny brutto</t>
  </si>
  <si>
    <t>Ilość</t>
  </si>
  <si>
    <t>Wartość</t>
  </si>
  <si>
    <t>wartość szacunkowa na</t>
  </si>
  <si>
    <t>Uwaga: Kalkulacja nie uwzględnia dopłat</t>
  </si>
  <si>
    <t>do tynków, gruntów i farb w kolorach grupy IV</t>
  </si>
  <si>
    <t>- bez farby</t>
  </si>
  <si>
    <t>szt.</t>
  </si>
  <si>
    <t>Cennik:</t>
  </si>
  <si>
    <t>kleje do siatki</t>
  </si>
  <si>
    <t>rodzaje styropianu</t>
  </si>
  <si>
    <t>Błędy</t>
  </si>
  <si>
    <t>grupa I - kolory pastelowe</t>
  </si>
  <si>
    <t>grupa III - kolory ciemne i nasycone</t>
  </si>
  <si>
    <t>grupa II - kolory średnio intensywne</t>
  </si>
  <si>
    <t>języki kalkulatora</t>
  </si>
  <si>
    <t>PLN netto</t>
  </si>
  <si>
    <t>PLN brutto</t>
  </si>
  <si>
    <t>EUR ExW</t>
  </si>
  <si>
    <t>Ceny</t>
  </si>
  <si>
    <t>kurs</t>
  </si>
  <si>
    <t>Angielski</t>
  </si>
  <si>
    <t>Niemiecki</t>
  </si>
  <si>
    <t>Rosyjski</t>
  </si>
  <si>
    <t>Thermal insulation system calculator</t>
  </si>
  <si>
    <t>Rechner für Wärmedämmsystem</t>
  </si>
  <si>
    <t>Калькулятор систем утепления</t>
  </si>
  <si>
    <t>Based on prices:</t>
  </si>
  <si>
    <t>Kalk. nach Preisen:</t>
  </si>
  <si>
    <t>Калькуляция по ценам:</t>
  </si>
  <si>
    <t>net</t>
  </si>
  <si>
    <t>нетто</t>
  </si>
  <si>
    <t>gross</t>
  </si>
  <si>
    <t>брутто</t>
  </si>
  <si>
    <t>Distributor:</t>
  </si>
  <si>
    <t>Vertreiber:</t>
  </si>
  <si>
    <t>Alpol distributor name:</t>
  </si>
  <si>
    <t>Name des Vertreibers von Alpol</t>
  </si>
  <si>
    <t>Название дистрибьютора Alpol</t>
  </si>
  <si>
    <t>Distributor address, telephone, contact:</t>
  </si>
  <si>
    <t>Vertreiberadresse, Telefonnummer, Kontaktangaben</t>
  </si>
  <si>
    <t>Адрес дистрибьютора, телефон, контакт</t>
  </si>
  <si>
    <t>Distributor discount [%]:</t>
  </si>
  <si>
    <t>Vertreiber-Nachlass [%]:</t>
  </si>
  <si>
    <t>Скидка дистриб. [%]:</t>
  </si>
  <si>
    <t>Distributor mark-up [%]:</t>
  </si>
  <si>
    <t>Vertreiber-Zuschlag [%]:</t>
  </si>
  <si>
    <t>Наценка дистриб. [%]:</t>
  </si>
  <si>
    <t>Calculation for:</t>
  </si>
  <si>
    <t>Kalkulation für:</t>
  </si>
  <si>
    <t>Калькуляция для:</t>
  </si>
  <si>
    <t>Client:</t>
  </si>
  <si>
    <t>Name des Kalkulation-Abnehmers</t>
  </si>
  <si>
    <t>Название получателя калькуляции</t>
  </si>
  <si>
    <t xml:space="preserve">Project, street, city </t>
  </si>
  <si>
    <t xml:space="preserve">Name der Investition, Straße, Ort </t>
  </si>
  <si>
    <t xml:space="preserve">Название инвестиции, Улица, Город </t>
  </si>
  <si>
    <t>date of issue</t>
  </si>
  <si>
    <t>Erstellt am</t>
  </si>
  <si>
    <t>дата составления</t>
  </si>
  <si>
    <t>WALL INSULATION SYSTEM</t>
  </si>
  <si>
    <t>WANDDÄMMSYSTEM</t>
  </si>
  <si>
    <t>Система утепления стен</t>
  </si>
  <si>
    <t>external wall insulation using styrofoam</t>
  </si>
  <si>
    <t>утепление наружных стен с использованием пенополистирола</t>
  </si>
  <si>
    <t>Insulation thickness [cm]:</t>
  </si>
  <si>
    <t>Stärke des EPS-Dämmplatte [cm]:</t>
  </si>
  <si>
    <t>Толщина терм. изоляции [см]:</t>
  </si>
  <si>
    <t>Type and parameters of wall:</t>
  </si>
  <si>
    <t>Art und Parameter der Wand:</t>
  </si>
  <si>
    <t>Вид и параметры стены:</t>
  </si>
  <si>
    <t>without plaster – height 20 - 25 m.</t>
  </si>
  <si>
    <t>unverputzt - Höhe von 20 bis 25 m.</t>
  </si>
  <si>
    <t>без штукатурки – высота 20 - 25 м.</t>
  </si>
  <si>
    <t>with plaster – height 20 - 25 m.</t>
  </si>
  <si>
    <t>verputzt - Höhe von 20 bis 25 m.</t>
  </si>
  <si>
    <t>с штукатуркой – высота 20 - 25 м.</t>
  </si>
  <si>
    <t>Wall structural material:</t>
  </si>
  <si>
    <t>Konstr.werkstoff der Wand:</t>
  </si>
  <si>
    <t>Материал конструкции стены:</t>
  </si>
  <si>
    <t>concrete</t>
  </si>
  <si>
    <t>Beton</t>
  </si>
  <si>
    <t>бетон</t>
  </si>
  <si>
    <t>solid brick</t>
  </si>
  <si>
    <t>Vollziegel</t>
  </si>
  <si>
    <t>сплошной кирпич</t>
  </si>
  <si>
    <t>hollow clay brick</t>
  </si>
  <si>
    <t>gebrannter Hohlziegel</t>
  </si>
  <si>
    <t>керамический щелевой кирпич</t>
  </si>
  <si>
    <t>hollow silicate brick</t>
  </si>
  <si>
    <t>Kalksandziegel</t>
  </si>
  <si>
    <t>силикатный щелевой кирпич</t>
  </si>
  <si>
    <t>porous hollow brick</t>
  </si>
  <si>
    <t>Hohlblockstein aus poröser Keramik</t>
  </si>
  <si>
    <t>пустотелый блок из пористой керамики</t>
  </si>
  <si>
    <t>lightweight concrete block</t>
  </si>
  <si>
    <t>Hohlblockstein aus Leichtbeton</t>
  </si>
  <si>
    <t>cellular concrete blocks</t>
  </si>
  <si>
    <t>Porenbetonblocksteine</t>
  </si>
  <si>
    <t>блоки из ячеистого бетона</t>
  </si>
  <si>
    <t>Amount</t>
  </si>
  <si>
    <t>Verbr.</t>
  </si>
  <si>
    <t>Расход</t>
  </si>
  <si>
    <t>per</t>
  </si>
  <si>
    <t>pro</t>
  </si>
  <si>
    <t>на</t>
  </si>
  <si>
    <t>Unit</t>
  </si>
  <si>
    <t>Einh.</t>
  </si>
  <si>
    <t>Ед.</t>
  </si>
  <si>
    <t>Price</t>
  </si>
  <si>
    <t>Preis</t>
  </si>
  <si>
    <t>Цена</t>
  </si>
  <si>
    <t>Discounts</t>
  </si>
  <si>
    <t>Nachlässe</t>
  </si>
  <si>
    <t>Скидки</t>
  </si>
  <si>
    <t>for items</t>
  </si>
  <si>
    <t>von-Posiiton</t>
  </si>
  <si>
    <t>от позиции</t>
  </si>
  <si>
    <t>Insulation and reinforcing layer material</t>
  </si>
  <si>
    <t>Materialien der Dämm-Armierungsschicht</t>
  </si>
  <si>
    <t>Материалы изоляционного и армирующего слоя</t>
  </si>
  <si>
    <t>Adhesive for bonding</t>
  </si>
  <si>
    <t>Kleber zum Verkleben</t>
  </si>
  <si>
    <t>Клей для приклеивания</t>
  </si>
  <si>
    <t>Reinforcing mesh</t>
  </si>
  <si>
    <t>Armierungsgewebe</t>
  </si>
  <si>
    <t>Армирующая сетка</t>
  </si>
  <si>
    <t>Adhesive for mesh</t>
  </si>
  <si>
    <t>Armierungsmörtel</t>
  </si>
  <si>
    <t>Клей для сетки</t>
  </si>
  <si>
    <t>Façade finishing materials</t>
  </si>
  <si>
    <t>Materialien des Fassadenverputzes</t>
  </si>
  <si>
    <t>Материалы фасадной штукатурки</t>
  </si>
  <si>
    <t>Decorative plaster</t>
  </si>
  <si>
    <t>Dekorativer Putz</t>
  </si>
  <si>
    <t>Штукатурка</t>
  </si>
  <si>
    <t>Charge for plaster colour</t>
  </si>
  <si>
    <t>Zuschlag für Putzfarbe</t>
  </si>
  <si>
    <t>Доплата за цвет штук.</t>
  </si>
  <si>
    <t>Plaster primer</t>
  </si>
  <si>
    <t>Grundierungsmittel</t>
  </si>
  <si>
    <t>Грунтовка под штук.</t>
  </si>
  <si>
    <t>Charge for primer colour</t>
  </si>
  <si>
    <t>Zuschlag für Grundfarbe</t>
  </si>
  <si>
    <t>Доплата за цвет грунт.</t>
  </si>
  <si>
    <t>Façade paint</t>
  </si>
  <si>
    <t>Fassadenfarbe</t>
  </si>
  <si>
    <t>Фасадная краска</t>
  </si>
  <si>
    <t>Charge for paint colour</t>
  </si>
  <si>
    <t>Zuschlag für Farbe</t>
  </si>
  <si>
    <t>Доплата за цвет краски</t>
  </si>
  <si>
    <t>group I – pastel colours (no extra charge)</t>
  </si>
  <si>
    <t>Gruppe I - Pastellfarben (zuschlagsfrei)</t>
  </si>
  <si>
    <t>группа I – пастельные цвета (без доплаты)</t>
  </si>
  <si>
    <t>group IV – priced individually</t>
  </si>
  <si>
    <t>Gruppe IV - Individuelle Einschätzung</t>
  </si>
  <si>
    <t>группа IV - индивидуальный расчет</t>
  </si>
  <si>
    <t>white – no extra charge</t>
  </si>
  <si>
    <t>weiß - zuschlagsfrei</t>
  </si>
  <si>
    <t>белый – без доплаты</t>
  </si>
  <si>
    <t xml:space="preserve">TOTAL: </t>
  </si>
  <si>
    <t>GESAMT:</t>
  </si>
  <si>
    <t>СУММА:</t>
  </si>
  <si>
    <t xml:space="preserve">DISCOUNT PER SYSTEM: </t>
  </si>
  <si>
    <t>NACHLASS AUF DAS SYSTEM:</t>
  </si>
  <si>
    <t>СКИДКА НА СИСТЕМУ:</t>
  </si>
  <si>
    <t>TOTAL ALPOL MATERIAL INCL. DISCOUNT:</t>
  </si>
  <si>
    <t>ALPOL-MATERIALIEN GESAMT INKL. NACHLASS:</t>
  </si>
  <si>
    <t>СУММА МАТЕРИАЛЫ ALPOL СО СКИДКОЙ:</t>
  </si>
  <si>
    <t>DISTRIBUTION:</t>
  </si>
  <si>
    <t>VERTRIEB:</t>
  </si>
  <si>
    <t>ДИСТИБУЦИЯ:</t>
  </si>
  <si>
    <t>Thermal insulation material</t>
  </si>
  <si>
    <t>Material der Wärmedämmschicht</t>
  </si>
  <si>
    <t>Материал термоизоляции</t>
  </si>
  <si>
    <t>anchors and ancillary materials</t>
  </si>
  <si>
    <t>Dübel und ergänzende Produkte</t>
  </si>
  <si>
    <t>соединители и дополнительные материалы</t>
  </si>
  <si>
    <t>Discount</t>
  </si>
  <si>
    <t>Nachlass</t>
  </si>
  <si>
    <t>Скидка</t>
  </si>
  <si>
    <t>Thermal insulation</t>
  </si>
  <si>
    <t>Wärmedämmung</t>
  </si>
  <si>
    <t>Термическая изоляция</t>
  </si>
  <si>
    <t>thickness</t>
  </si>
  <si>
    <t>Stärke</t>
  </si>
  <si>
    <t>толщ.</t>
  </si>
  <si>
    <t>Anchors</t>
  </si>
  <si>
    <t>Dübel</t>
  </si>
  <si>
    <t>Cоединители</t>
  </si>
  <si>
    <t>Dübel mit Einschlagbolzen</t>
  </si>
  <si>
    <t>см</t>
  </si>
  <si>
    <t>Ancillary materials</t>
  </si>
  <si>
    <t>Ergänzende Produkte</t>
  </si>
  <si>
    <t>Доп. материалы</t>
  </si>
  <si>
    <t>MATERIAL’S COST AND QUANTITY SPECIFICATION</t>
  </si>
  <si>
    <t>MENGEN-BETRÄGE-AUFSTELLUNG DER MATERIALIEN</t>
  </si>
  <si>
    <t>Сводка количества и стоимости материалов</t>
  </si>
  <si>
    <t>discounted material price, converted to full packages</t>
  </si>
  <si>
    <t>Preise der Materialien inkl. Nachlass, auf Vollverpackungen umgerechnet</t>
  </si>
  <si>
    <t>цены материалов со скидкой, после пересчета на полные упаковки</t>
  </si>
  <si>
    <t>Material per</t>
  </si>
  <si>
    <t>Materialien pro</t>
  </si>
  <si>
    <t>Материалы для</t>
  </si>
  <si>
    <t>price Ex Works Fidor</t>
  </si>
  <si>
    <t>preis Ex Works Fidor</t>
  </si>
  <si>
    <t>цены Ex Works Fidor</t>
  </si>
  <si>
    <t>gross price</t>
  </si>
  <si>
    <t>Bruttopreis</t>
  </si>
  <si>
    <t>цены брутто</t>
  </si>
  <si>
    <t>Quant.</t>
  </si>
  <si>
    <t>Anz.</t>
  </si>
  <si>
    <t>Кол.</t>
  </si>
  <si>
    <t>Value</t>
  </si>
  <si>
    <t>Wert</t>
  </si>
  <si>
    <t>Стоимость</t>
  </si>
  <si>
    <t>Estimated value per</t>
  </si>
  <si>
    <t>Schätzungswert pro</t>
  </si>
  <si>
    <t>оценочная стоимость для</t>
  </si>
  <si>
    <t>Note: the calculation includes no extra charges</t>
  </si>
  <si>
    <t>Achtung: In der Kalkulation sind keine Zuschläge enthalten</t>
  </si>
  <si>
    <t>Примечание: Калькуляция не учитывает доплат</t>
  </si>
  <si>
    <t>for plaster, primer and paint of the IV group</t>
  </si>
  <si>
    <t>für Produkte in der Farbgruppe IV</t>
  </si>
  <si>
    <t>для продуктов цветом из IV группы</t>
  </si>
  <si>
    <t>- without paint</t>
  </si>
  <si>
    <t>- exkl. Farbe</t>
  </si>
  <si>
    <t>- без краски</t>
  </si>
  <si>
    <t>AG 705 - Primer for acrylic plasters</t>
  </si>
  <si>
    <t>AG 705 - Putzgrund für Kunstharzputze</t>
  </si>
  <si>
    <t xml:space="preserve">AG 705 - Грунтовка под акриловые штукатурки </t>
  </si>
  <si>
    <t>AG 706 - Primer for silicate plasters</t>
  </si>
  <si>
    <t>AG 706 - Putzgrund für Silikatputze</t>
  </si>
  <si>
    <t xml:space="preserve">AG 706 - Грунтовка под силикатные штукатурки </t>
  </si>
  <si>
    <t>AH 741 - Bitumendichtmasse</t>
  </si>
  <si>
    <t>AH 741 - Масса битумная уплотнительная</t>
  </si>
  <si>
    <t>AT 321 - White mineral pitted plaster 2 mm</t>
  </si>
  <si>
    <t>AT 321 - Mineralischer Rillenputz weiß 2 mm</t>
  </si>
  <si>
    <t>AT 321 - Минеральная белая - короед  2 мм</t>
  </si>
  <si>
    <t>AT 325 - Ultra-white mineral dashed plaster 1,5 mm</t>
  </si>
  <si>
    <t>AT 325 - Mineralischer Scheibenputz extra weiß 1,5 mm</t>
  </si>
  <si>
    <t>AT 326 - Ultra-white mineral dashed plaster 2 mm</t>
  </si>
  <si>
    <t>AT 326 - Mineralischer Scheibenputz extra weiß 2 mm</t>
  </si>
  <si>
    <t>AT 327 - Ultra-white mineral dashed plaster 2,5 mm</t>
  </si>
  <si>
    <t>AT 327 - Mineralischer Scheibenputz extra weiß 2,5 mm</t>
  </si>
  <si>
    <t>AT 336 - Grey mineral pebble dash plaster 2 mm</t>
  </si>
  <si>
    <t>AT 336 - Mineralischer Scheibenputz grau 2 mm</t>
  </si>
  <si>
    <t>AT 336 - Минеральная экстра, серая - шуба 2 мм</t>
  </si>
  <si>
    <t>AT 350 - Acrylic dashed plaster 1 mm</t>
  </si>
  <si>
    <t>AT 350 - Kunstharz Scheibenputz 1 mm</t>
  </si>
  <si>
    <t>AT 350 - Акриловая - шуба 1 мм</t>
  </si>
  <si>
    <t>AT 351 - Acrylic dashed plaster 1,5 mm</t>
  </si>
  <si>
    <t>AT 351 - Kunstharz Scheibenputz 1,5 mm</t>
  </si>
  <si>
    <t>AT 351 - Акриловая - шуба 1,5 мм</t>
  </si>
  <si>
    <t>AT 352 - Acrylic dashed plaster 2 mm</t>
  </si>
  <si>
    <t>AT 352 - Kunstharz Scheibenputz 2 mm</t>
  </si>
  <si>
    <t>AT 352 - Акриловая - шуба 2 мм</t>
  </si>
  <si>
    <t>AT 357 - Acrylic pitted plaster 2 mm</t>
  </si>
  <si>
    <t>AT 357 - Kunstharz Rillenputz 2 mm</t>
  </si>
  <si>
    <t>AT 357 - Акриловая - короед 2 мм</t>
  </si>
  <si>
    <t>AT 370 - Silicate and silicone dashed plaster 1 mm</t>
  </si>
  <si>
    <t>AT 370 - Silikat - Silikonharz Scheibenputz 1 mm</t>
  </si>
  <si>
    <t>AT 370 - Cиликат-силиконовaя - шуба 1 мм</t>
  </si>
  <si>
    <t>AT 371 - Silicate and silicone dashed plaster 1,5 mm</t>
  </si>
  <si>
    <t>AT 371 - Silikat - Silikonharz Scheibenputz 1,5 mm</t>
  </si>
  <si>
    <t>AT 371 - Cиликат-силиконовaя - шуба 1,5 мм</t>
  </si>
  <si>
    <t>AT 372 - Silicate and silicone dashed plaster 2 mm</t>
  </si>
  <si>
    <t>AT 372 - Silikat - Silikonharz Scheibenputz 2 mm</t>
  </si>
  <si>
    <t>AT 372 - Cиликат-силиконовaя - шуба 2 мм</t>
  </si>
  <si>
    <t>AT 377 - Silicate and silicone pitted plaster 2 mm</t>
  </si>
  <si>
    <t>AT 377 - Silikat - Silikonharz Rillenputz 2 mm</t>
  </si>
  <si>
    <t>AT 377 - Cиликат-силиконовaя - короед 2 мм</t>
  </si>
  <si>
    <t>AT 397 - Colouredl mosaic plaster 2,5 mm</t>
  </si>
  <si>
    <t>AT 397 - Mosaikputz eingefärbt 2,5 mm</t>
  </si>
  <si>
    <t>AT 397 - Мозаичная штукатурка окрашенная 2,5 мм</t>
  </si>
  <si>
    <t>plasters primers paints group IV</t>
  </si>
  <si>
    <t>Putze Grund.mit. Farben Gruppe IV</t>
  </si>
  <si>
    <t>штукатурки грунтовки краски группа IV</t>
  </si>
  <si>
    <t>pc</t>
  </si>
  <si>
    <t>st.</t>
  </si>
  <si>
    <t>шт.</t>
  </si>
  <si>
    <t>кг</t>
  </si>
  <si>
    <t>litre</t>
  </si>
  <si>
    <t>liter</t>
  </si>
  <si>
    <t>литр</t>
  </si>
  <si>
    <t>group II – medium intense colors</t>
  </si>
  <si>
    <t>group III – dark and saturated colors</t>
  </si>
  <si>
    <t>Gruppe I - Pastellfarben</t>
  </si>
  <si>
    <t>группа I – пастельные цвета</t>
  </si>
  <si>
    <t>group I – pastel colors</t>
  </si>
  <si>
    <t>группа II – среды интенсивные цвета</t>
  </si>
  <si>
    <t>Gruppe III - Dunkle und Gesättigte Farben</t>
  </si>
  <si>
    <t>группа III – темные и насыщенные цвета</t>
  </si>
  <si>
    <t>Gruppe II -Mittel Intensive Farben</t>
  </si>
  <si>
    <t>AT 320 - White mineral dashed plaster 2 mm</t>
  </si>
  <si>
    <t>AT 320 - Mineralischer Scheibenputz weiß 2 mm</t>
  </si>
  <si>
    <t>AT 320 - Минеральная белая - шуба 2 мм</t>
  </si>
  <si>
    <t>AT 330 - Grey mineral dashed plaster 2 mm</t>
  </si>
  <si>
    <t>AT 330 - Mineralischer Scheibenputz grau 2 mm</t>
  </si>
  <si>
    <t>AT 330 - Минеральная серая - шуба 2 мм</t>
  </si>
  <si>
    <t>AH 741 - Bitumen waterproofing compound</t>
  </si>
  <si>
    <t>AK 525 - Клей для пенополистирола СТАНДАРТ</t>
  </si>
  <si>
    <t>AK 525 - Polystyrolkleber STANDARD</t>
  </si>
  <si>
    <t>AK 525 - Styrofoam adhesive STANDARD</t>
  </si>
  <si>
    <t>AK 527 - Adhesive for styrofoam insulation STANDARD</t>
  </si>
  <si>
    <t>Wärmedämmung von Außenwänden unter Einsatz von EPS/XPS - Platten</t>
  </si>
  <si>
    <t>AK 527 - Kleber für Wärmedämm mit Styr. STANDARD</t>
  </si>
  <si>
    <t>AK 527 - Клей для утепления пенополист. СТАНДАРТ</t>
  </si>
  <si>
    <t>Цены</t>
  </si>
  <si>
    <t>Prices</t>
  </si>
  <si>
    <t>Preise</t>
  </si>
  <si>
    <t>[PLN]</t>
  </si>
  <si>
    <t>Opakowanie</t>
  </si>
  <si>
    <t>PL</t>
  </si>
  <si>
    <t>EN</t>
  </si>
  <si>
    <t>DE</t>
  </si>
  <si>
    <t>RU</t>
  </si>
  <si>
    <t>PLN</t>
  </si>
  <si>
    <t>SYSTEM OCIEPLANIA ŚCIAN</t>
  </si>
  <si>
    <t>НДС:</t>
  </si>
  <si>
    <t>MwSt.:</t>
  </si>
  <si>
    <t>Price-list:</t>
  </si>
  <si>
    <t>Preisliste:</t>
  </si>
  <si>
    <t>Ценник:</t>
  </si>
  <si>
    <t>Упаковка</t>
  </si>
  <si>
    <t>Packaging</t>
  </si>
  <si>
    <t>Verpackung</t>
  </si>
  <si>
    <t>VAT (PL):</t>
  </si>
  <si>
    <t>Ceny netto</t>
  </si>
  <si>
    <t>price Ex Works PL</t>
  </si>
  <si>
    <t>preis Ex Works PL</t>
  </si>
  <si>
    <t>цены Ex Works PL</t>
  </si>
  <si>
    <t>Nazwa produktu ALPOL</t>
  </si>
  <si>
    <t>Наименование продукта ALPOL</t>
  </si>
  <si>
    <t>ALPOL Product Name</t>
  </si>
  <si>
    <t>ALPOL Produkt Name</t>
  </si>
  <si>
    <t>AG 701 - Primer for mineral and silicon plasters</t>
  </si>
  <si>
    <t>AG 701 - Putzgrund für Mineralischer und Silikonputze</t>
  </si>
  <si>
    <t xml:space="preserve">AG 701 - Грунтовка под минеральные и cиликоновые штукатурки </t>
  </si>
  <si>
    <t>AT 320 - White mineral dashed plaster 1,5 mm</t>
  </si>
  <si>
    <t>AT 320 - Mineralischer Scheibenputz weiß 1,5 mm</t>
  </si>
  <si>
    <t>AT 320 - Минеральная белая - шуба 1,5 мм</t>
  </si>
  <si>
    <t>AT 330 - Grey mineral dashed plaster 1,5 mm</t>
  </si>
  <si>
    <t>AT 330 - Mineralischer Scheibenputz grau 1,5 mm</t>
  </si>
  <si>
    <t>AT 330 - Минеральная серая - шуба 1,5 мм</t>
  </si>
  <si>
    <t>AT 380 - Cиликат-силиконовaя - шуба 1 мм</t>
  </si>
  <si>
    <t>AT 381 - Cиликат-силиконовaя - шуба 1,5 мм</t>
  </si>
  <si>
    <t>AT 382 - Cиликат-силиконовaя - шуба 2 мм</t>
  </si>
  <si>
    <t>AT 387 - Cиликат-силиконовaя - короед 2 мм</t>
  </si>
  <si>
    <t>AT 380 - Nano-silicone plaster dashed plaster 1 mm</t>
  </si>
  <si>
    <t>AT 381 - Nano-silicone plaster dashed plaster 1,5 mm</t>
  </si>
  <si>
    <t>AT 382 - Nano-silicone plaster dashed plaster 2 mm</t>
  </si>
  <si>
    <t>AT 387 - Nano-silicone plaster pitted plaster 2 mm</t>
  </si>
  <si>
    <t>AT 380 - Nano-Silikonharz Scheibenputz 1 mm</t>
  </si>
  <si>
    <t>AT 381 - Nano-Silikonharz Scheibenputz 1,5 mm</t>
  </si>
  <si>
    <t>AT 382 - Nano-Silikonharz Scheibenputz 2 mm</t>
  </si>
  <si>
    <t>AT 387 - Nano-Silikonharz Rillenputz 2 mm</t>
  </si>
  <si>
    <t>dopłaty</t>
  </si>
  <si>
    <t>biały</t>
  </si>
  <si>
    <t>I grupa</t>
  </si>
  <si>
    <t>II grupa</t>
  </si>
  <si>
    <t>III grupa</t>
  </si>
  <si>
    <t>IV grupa</t>
  </si>
  <si>
    <t>kolumna</t>
  </si>
  <si>
    <t>rodzaj</t>
  </si>
  <si>
    <t>czpienia</t>
  </si>
  <si>
    <t>Anchor with a screwed pin</t>
  </si>
  <si>
    <t>AT 319 - White mineral plaster for modeling</t>
  </si>
  <si>
    <t>AT 319 - Mineralputz Modellierung weiß</t>
  </si>
  <si>
    <t>AT 319 - Минеральная штукатурка белая</t>
  </si>
  <si>
    <t>AK 530 - Styrofoam adhesive PREMIUM</t>
  </si>
  <si>
    <t>AK 530 - Polystyrolkleber PREMIUM</t>
  </si>
  <si>
    <t>AK 530 - Клей для пенополистирола PREMIUM</t>
  </si>
  <si>
    <t>AK 532 - Adhesive for insulation systems PREMIUM</t>
  </si>
  <si>
    <t>AK 534 - Adhesive for insulation systems WINTER</t>
  </si>
  <si>
    <t>AK 531 - Adhesive for insulation systems WHITE</t>
  </si>
  <si>
    <t>AK 534 - Kleber für Wärmedämm WINTER</t>
  </si>
  <si>
    <t>AK 532 - Kleber für Wärmedämm PREMIUM</t>
  </si>
  <si>
    <t>AK 531 - Kleber für Wärmedämm WEISS</t>
  </si>
  <si>
    <t>AK 531 - Клей для утепления WHITE</t>
  </si>
  <si>
    <t>AK 532 - Клей для утепления PREMIUM</t>
  </si>
  <si>
    <t>AK 534 - Клей для утепления WINTER</t>
  </si>
  <si>
    <t>AT 390 - Natural mosaic plaster SKIATOS</t>
  </si>
  <si>
    <t>AT 390 - Natürlicher Mosaikputz SKIATOS</t>
  </si>
  <si>
    <t>AT 390 - Мозаичная штукатурка натуральная SKIATOS</t>
  </si>
  <si>
    <t>AT 391 - Natural mosaic plaster MILOS, KOMODO</t>
  </si>
  <si>
    <t>AT 391 - Natürlicher Mosaikputz MILOS, KOMODO</t>
  </si>
  <si>
    <t>AT 391 - Мозаичная штукатурка натуральная MILOS, KOMODO</t>
  </si>
  <si>
    <t>AT 397 - Colouredl mosaic plaster EXPRESS</t>
  </si>
  <si>
    <t>AT 397 - Mosaikputz eingefärbt EXPRESS</t>
  </si>
  <si>
    <t>AT 397 - Мозаичная штукатурка окрашенная EXPRESS</t>
  </si>
  <si>
    <t>AT 398 - Decorative mosaic plaster CREATIVO</t>
  </si>
  <si>
    <t>AT 398 - Dekorputz CREATIVO</t>
  </si>
  <si>
    <t>AT 398 - Декоративная штукатурка CREATIVO</t>
  </si>
  <si>
    <t>beton zwykły</t>
  </si>
  <si>
    <t>bloczki z betonu lekkiego</t>
  </si>
  <si>
    <t>блок из легкого бетона</t>
  </si>
  <si>
    <t>A</t>
  </si>
  <si>
    <t>B</t>
  </si>
  <si>
    <t>C</t>
  </si>
  <si>
    <t>D</t>
  </si>
  <si>
    <t>E</t>
  </si>
  <si>
    <t xml:space="preserve"> - kat.</t>
  </si>
  <si>
    <t>bez tynku - wysokość do 12 m.</t>
  </si>
  <si>
    <t>without plaster – height up to 12 m.</t>
  </si>
  <si>
    <t>unverputzt - Höhe bis 12 m.</t>
  </si>
  <si>
    <t>без штукатурки – высота до 12 м.</t>
  </si>
  <si>
    <t>bez tynku - wysokość od 12 do 20 m.</t>
  </si>
  <si>
    <t>without plaster – height 12 - 20 m.</t>
  </si>
  <si>
    <t>unverputzt - Höhe von 12 bis 20 m.</t>
  </si>
  <si>
    <r>
      <t>без штукатурки – высота 12 - 20 м</t>
    </r>
    <r>
      <rPr>
        <sz val="8"/>
        <rFont val="Times New Roman"/>
        <family val="1"/>
        <charset val="238"/>
      </rPr>
      <t>.</t>
    </r>
  </si>
  <si>
    <t>z tynkiem - wysokość do 12 m.</t>
  </si>
  <si>
    <t>with plaster – height up to 12 m.</t>
  </si>
  <si>
    <t>verputzt - Höhe bis 12 m.</t>
  </si>
  <si>
    <r>
      <t>с штукатуркой – высота до 12 м</t>
    </r>
    <r>
      <rPr>
        <sz val="8"/>
        <rFont val="Times New Roman"/>
        <family val="1"/>
        <charset val="238"/>
      </rPr>
      <t>.</t>
    </r>
  </si>
  <si>
    <t>z tynkiem - wysokość od 12 do 20 m.</t>
  </si>
  <si>
    <t>verputzt - Höhe von 12 bis 20 m.</t>
  </si>
  <si>
    <t>с штукатуркой – высота 12 - 20 м.</t>
  </si>
  <si>
    <t>with plaster – height 12 - 20 m.</t>
  </si>
  <si>
    <t>tys.szt.</t>
  </si>
  <si>
    <t>th.pc</t>
  </si>
  <si>
    <t>tau.st.</t>
  </si>
  <si>
    <t>тыс.шт.</t>
  </si>
  <si>
    <t xml:space="preserve"> - кат.</t>
  </si>
  <si>
    <t xml:space="preserve"> - cat.</t>
  </si>
  <si>
    <t xml:space="preserve"> - Kat.</t>
  </si>
  <si>
    <t>AT 325 - Минеральная экстра белая - шуба 1,5 мм</t>
  </si>
  <si>
    <t>AT 326 - Минеральная экстра белая - шуба 2 мм</t>
  </si>
  <si>
    <t>AT 327 - Минеральная экстра белая - шуба 2,5 мм</t>
  </si>
  <si>
    <t>dopłaty do koloru tynków</t>
  </si>
  <si>
    <t>dopłaty do koloru farby</t>
  </si>
  <si>
    <t>dopłaty do impregnatu</t>
  </si>
  <si>
    <t>AG 701 - grunt pod impregnat (biały)</t>
  </si>
  <si>
    <t>AK 525 - klej do styropianu STANDARD</t>
  </si>
  <si>
    <t>AK 527 - klej do ociepleń na styropianie STANDARD</t>
  </si>
  <si>
    <t>AK 530 - klej do styropianu PREMIUM</t>
  </si>
  <si>
    <t>AK 531 - klej do ociepleń BIAŁY</t>
  </si>
  <si>
    <t>AK 532 - klej do ociepleń PREMIUM</t>
  </si>
  <si>
    <t>AK 534 - klej do ociepleń ZIMOWY</t>
  </si>
  <si>
    <t>AH 741 - bitumiczna masa uszczelniająca</t>
  </si>
  <si>
    <t>AT 319 - tynk mineralny modelowany biały</t>
  </si>
  <si>
    <t>AT 320 - tynk mineralny biały baranek 1,5 mm</t>
  </si>
  <si>
    <t>AT 320 - tynk mineralny biały baranek 2 mm</t>
  </si>
  <si>
    <t>AT 321 - tynk mineralny biały kornik 2 mm</t>
  </si>
  <si>
    <t>AT 325 - tynk mineralny extra biały baranek 1,5 mm</t>
  </si>
  <si>
    <t>AT 326 - tynk mineralny extra biały baranek 2 mm</t>
  </si>
  <si>
    <t>AT 327 - tynk mineralny extra biały baranek 2,5 mm</t>
  </si>
  <si>
    <t>AT 330 - tynk mineralny szary baranek 1,5 mm</t>
  </si>
  <si>
    <t>AT 330 - tynk mineralny szary baranek 2 mm</t>
  </si>
  <si>
    <t>AT 336 - tynk mineralny extra, szary baranek 2 mm</t>
  </si>
  <si>
    <t>AT 350 - tynk akrylowy baranek 1 mm</t>
  </si>
  <si>
    <t>AT 351 - tynk akrylowy baranek 1,5 mm</t>
  </si>
  <si>
    <t>AT 352 - tynk akrylowy baranek 2 mm</t>
  </si>
  <si>
    <t>AT 357 - tynk akrylowy kornik 2 mm</t>
  </si>
  <si>
    <t>AT 370 - tynk silikatowo-silikonowy baranek 1 mm</t>
  </si>
  <si>
    <t>AT 371 - tynk silikatowo-silikonowy baranek 1,5 mm</t>
  </si>
  <si>
    <t>AT 372 - tynk silikatowo-silikonowy baranek 2 mm</t>
  </si>
  <si>
    <t>AT 377 - tynk silikatowo-silikonowy kornik 2 mm</t>
  </si>
  <si>
    <t>AT 380 - tynk nanosilikonowy baranek 1 mm</t>
  </si>
  <si>
    <t>AT 381 - tynk nanosilikonowy baranek 1,5 mm</t>
  </si>
  <si>
    <t>AT 382 - tynk nanosilikonowy baranek 2 mm</t>
  </si>
  <si>
    <t>AT 387 - tynk nanosilikonowy kornik 2 mm</t>
  </si>
  <si>
    <t>AT 390 - tynk mozaikowy naturalny SKIATOS</t>
  </si>
  <si>
    <t>AT 391 - tynk mozaikowy naturalny MILOS, KOMODO</t>
  </si>
  <si>
    <t>AT 397 - tynk mozaikowy barwiony 2,5 mm</t>
  </si>
  <si>
    <t>AT 397 - tynk mozaikowy barwiony EXPRESS</t>
  </si>
  <si>
    <t>AT 398 - tynk moazikowy dekoracyjny CREATIVO</t>
  </si>
  <si>
    <t>AG 701 - grunt pod tynki mineralne i silikonowe</t>
  </si>
  <si>
    <t>AG 705 - grunt pod tynki akrylowe</t>
  </si>
  <si>
    <t>AG 706 - grunt pod tynki krzemianowe</t>
  </si>
  <si>
    <t>Impregnat</t>
  </si>
  <si>
    <t>AF 640 - farba elewacyjna akrylowa</t>
  </si>
  <si>
    <t>AF 660 - farba elewacyjna silikatowa</t>
  </si>
  <si>
    <t>AF 680 - farba elewacyjna silikonowa</t>
  </si>
  <si>
    <t>AF 685 - farba silikonowa elastyczna</t>
  </si>
  <si>
    <t>AI 785 - impregnat koloryzujący</t>
  </si>
  <si>
    <t>AF 640 - Acrylic façade paint</t>
  </si>
  <si>
    <t>AF 640 - Acryl-Fassadenfarbe</t>
  </si>
  <si>
    <t>AF 640 - Акриловая фасадная краска</t>
  </si>
  <si>
    <t>AF 660 - Silicate façade paint</t>
  </si>
  <si>
    <t>AF 660 - Silikat-Fassadenfarbe</t>
  </si>
  <si>
    <t>AF 660 - Силикатная фасадная краска</t>
  </si>
  <si>
    <t>AF 680 - Silicon façade paint</t>
  </si>
  <si>
    <t>AF 680 - Silikon-Fassadenfarbe</t>
  </si>
  <si>
    <t>AF 680 - Силиконовая фасадная краска</t>
  </si>
  <si>
    <t>AF 685 - Flexible silicon paint</t>
  </si>
  <si>
    <t>AF 685 - Flexible Silikon-Fassadenfarbe</t>
  </si>
  <si>
    <t>AF 685 - Гибкая cиликоновая краска</t>
  </si>
  <si>
    <t>AI 785 - Impregnating and coloring agent</t>
  </si>
  <si>
    <t>AI 785 - Imprägniermittel und Färbung</t>
  </si>
  <si>
    <t>AI 785 - Цветная пропитка</t>
  </si>
  <si>
    <t>SW 145 - siatka z włókna szklanego</t>
  </si>
  <si>
    <t>SW 145 - Glass fibre mesh</t>
  </si>
  <si>
    <t>SW 145 - Armierungsgewebe</t>
  </si>
  <si>
    <t>SW 145 - Подштукатурная сетка</t>
  </si>
  <si>
    <t>SW 160 - siatka z włókna szklanego</t>
  </si>
  <si>
    <t>SW 160 - Glass fibre mesh</t>
  </si>
  <si>
    <t>SW 160 - Armierungsgewebe</t>
  </si>
  <si>
    <t>SW 160 - Подштукатурная сетка</t>
  </si>
  <si>
    <t>tynki    grunty   farby   grupa IV</t>
  </si>
  <si>
    <t>AG 701 - Grund für Imprägniermittel (weiß)</t>
  </si>
  <si>
    <t>AG 701 - Primer for impregnating agent (white)</t>
  </si>
  <si>
    <t>Anchor with a rammed or screwed pin</t>
  </si>
  <si>
    <t>Grunt pod impregnat</t>
  </si>
  <si>
    <t>Primer for impregnating agent</t>
  </si>
  <si>
    <t>Grund für Imprägniermittel</t>
  </si>
  <si>
    <t>Грунтовка для пропитки</t>
  </si>
  <si>
    <t>AG 701 - Грунтовка для пропитки (белая)</t>
  </si>
  <si>
    <t>grunt x2 dla impregnatu</t>
  </si>
  <si>
    <t>kategoria</t>
  </si>
  <si>
    <t>łącznika</t>
  </si>
  <si>
    <t>wspólczynnik</t>
  </si>
  <si>
    <t>λ min</t>
  </si>
  <si>
    <t>λ max</t>
  </si>
  <si>
    <t>Structural wall thickness [cm]:</t>
  </si>
  <si>
    <t>Толщина несущей стены [см]:</t>
  </si>
  <si>
    <t>Grubość ściany nośnej [cm]:</t>
  </si>
  <si>
    <t>Lagerwandstärke [cm]:</t>
  </si>
  <si>
    <t>Grubość izolacji termicz. [cm]:</t>
  </si>
  <si>
    <t>ściany</t>
  </si>
  <si>
    <t>min</t>
  </si>
  <si>
    <t>max</t>
  </si>
  <si>
    <t>wymagane</t>
  </si>
  <si>
    <t>Uc</t>
  </si>
  <si>
    <t>m²</t>
  </si>
  <si>
    <t>м²</t>
  </si>
  <si>
    <t>Schätzungspreis pro 1 m² Wärmedämmschicht</t>
  </si>
  <si>
    <t>m³</t>
  </si>
  <si>
    <t>м³</t>
  </si>
  <si>
    <r>
      <t>1m</t>
    </r>
    <r>
      <rPr>
        <sz val="8"/>
        <rFont val="Czcionka tekstu podstawowego"/>
        <charset val="238"/>
      </rPr>
      <t>²</t>
    </r>
  </si>
  <si>
    <t>1m²</t>
  </si>
  <si>
    <t>1м²</t>
  </si>
  <si>
    <r>
      <t>Powierzchnia ocieplenia [m</t>
    </r>
    <r>
      <rPr>
        <sz val="8"/>
        <rFont val="Czcionka tekstu podstawowego"/>
        <charset val="238"/>
      </rPr>
      <t>²</t>
    </r>
    <r>
      <rPr>
        <sz val="8"/>
        <rFont val="Arial"/>
        <family val="2"/>
        <charset val="238"/>
      </rPr>
      <t>]:</t>
    </r>
  </si>
  <si>
    <r>
      <t>Insulation area [m</t>
    </r>
    <r>
      <rPr>
        <sz val="8"/>
        <rFont val="Czcionka tekstu podstawowego"/>
        <charset val="238"/>
      </rPr>
      <t>²</t>
    </r>
    <r>
      <rPr>
        <sz val="8"/>
        <rFont val="Arial"/>
        <family val="2"/>
        <charset val="238"/>
      </rPr>
      <t>]</t>
    </r>
  </si>
  <si>
    <r>
      <t>Wärmedämmfläche [m</t>
    </r>
    <r>
      <rPr>
        <sz val="8"/>
        <rFont val="Czcionka tekstu podstawowego"/>
        <charset val="238"/>
      </rPr>
      <t>²</t>
    </r>
    <r>
      <rPr>
        <sz val="8"/>
        <rFont val="Arial"/>
        <family val="2"/>
        <charset val="238"/>
      </rPr>
      <t>]:</t>
    </r>
  </si>
  <si>
    <r>
      <t>Площадь утепления [м</t>
    </r>
    <r>
      <rPr>
        <sz val="8"/>
        <rFont val="Czcionka tekstu podstawowego"/>
        <charset val="238"/>
      </rPr>
      <t>²</t>
    </r>
    <r>
      <rPr>
        <sz val="8"/>
        <rFont val="Arial"/>
        <family val="2"/>
        <charset val="238"/>
      </rPr>
      <t>]:</t>
    </r>
  </si>
  <si>
    <r>
      <t>m</t>
    </r>
    <r>
      <rPr>
        <sz val="8"/>
        <rFont val="Czcionka tekstu podstawowego"/>
        <charset val="238"/>
      </rPr>
      <t>²</t>
    </r>
    <r>
      <rPr>
        <sz val="8"/>
        <rFont val="Arial"/>
        <family val="2"/>
        <charset val="238"/>
      </rPr>
      <t xml:space="preserve"> powierzchni ocieplenia</t>
    </r>
  </si>
  <si>
    <r>
      <t>m</t>
    </r>
    <r>
      <rPr>
        <sz val="8"/>
        <rFont val="Czcionka tekstu podstawowego"/>
        <charset val="238"/>
      </rPr>
      <t>²</t>
    </r>
    <r>
      <rPr>
        <vertAlign val="superscript"/>
        <sz val="8"/>
        <rFont val="Arial"/>
        <family val="2"/>
        <charset val="238"/>
      </rPr>
      <t xml:space="preserve"> </t>
    </r>
    <r>
      <rPr>
        <sz val="8"/>
        <rFont val="Arial"/>
        <family val="2"/>
        <charset val="238"/>
      </rPr>
      <t>of insulation</t>
    </r>
  </si>
  <si>
    <r>
      <t>m</t>
    </r>
    <r>
      <rPr>
        <sz val="8"/>
        <rFont val="Czcionka tekstu podstawowego"/>
        <charset val="238"/>
      </rPr>
      <t>²</t>
    </r>
    <r>
      <rPr>
        <sz val="8"/>
        <rFont val="Arial"/>
        <family val="2"/>
        <charset val="238"/>
      </rPr>
      <t xml:space="preserve"> der Wärmedämmschicht</t>
    </r>
  </si>
  <si>
    <r>
      <t>м</t>
    </r>
    <r>
      <rPr>
        <sz val="8"/>
        <rFont val="Czcionka tekstu podstawowego"/>
        <charset val="238"/>
      </rPr>
      <t>²</t>
    </r>
    <r>
      <rPr>
        <sz val="8"/>
        <rFont val="Arial"/>
        <family val="2"/>
        <charset val="238"/>
      </rPr>
      <t xml:space="preserve"> площади утепления</t>
    </r>
  </si>
  <si>
    <t>łącznik z trzpieniem wbijanym lub wkręcanym</t>
  </si>
  <si>
    <t>łącznik z trzpieniem wkręcanym</t>
  </si>
  <si>
    <t>cоединитель с забиваемым стержнем</t>
  </si>
  <si>
    <t>cena szacunkowa na 1 m² powierzchni ocieplenia</t>
  </si>
  <si>
    <t>estimated price per 1 m² of insulation</t>
  </si>
  <si>
    <t>oценочная стоимость для 1 м² площади утепления</t>
  </si>
  <si>
    <r>
      <t>m</t>
    </r>
    <r>
      <rPr>
        <sz val="8"/>
        <rFont val="Czcionka tekstu podstawowego"/>
        <charset val="238"/>
      </rPr>
      <t>²</t>
    </r>
    <r>
      <rPr>
        <sz val="8"/>
        <rFont val="Arial"/>
        <family val="2"/>
        <charset val="238"/>
      </rPr>
      <t xml:space="preserve"> insulation</t>
    </r>
  </si>
  <si>
    <r>
      <t>m</t>
    </r>
    <r>
      <rPr>
        <sz val="8"/>
        <rFont val="Czcionka tekstu podstawowego"/>
        <charset val="238"/>
      </rPr>
      <t>²</t>
    </r>
    <r>
      <rPr>
        <sz val="8"/>
        <rFont val="Arial"/>
        <family val="2"/>
        <charset val="238"/>
      </rPr>
      <t xml:space="preserve"> der Wärmedämmsch</t>
    </r>
  </si>
  <si>
    <r>
      <t>m</t>
    </r>
    <r>
      <rPr>
        <sz val="8"/>
        <rFont val="Czcionka tekstu podstawowego"/>
        <charset val="238"/>
      </rPr>
      <t>²</t>
    </r>
    <r>
      <rPr>
        <sz val="8"/>
        <rFont val="Arial"/>
        <family val="2"/>
        <charset val="238"/>
      </rPr>
      <t xml:space="preserve"> pow. ocieplenia</t>
    </r>
  </si>
  <si>
    <r>
      <t>мm</t>
    </r>
    <r>
      <rPr>
        <sz val="8"/>
        <rFont val="Czcionka tekstu podstawowego"/>
        <charset val="238"/>
      </rPr>
      <t>²</t>
    </r>
    <r>
      <rPr>
        <sz val="8"/>
        <rFont val="Arial"/>
        <family val="2"/>
        <charset val="238"/>
      </rPr>
      <t xml:space="preserve"> пл. yтепления</t>
    </r>
  </si>
  <si>
    <t>tynku [cm]</t>
  </si>
  <si>
    <t>λmin</t>
  </si>
  <si>
    <t>λmax</t>
  </si>
  <si>
    <r>
      <t>styropian fasadowy EPS 038</t>
    </r>
    <r>
      <rPr>
        <sz val="8"/>
        <rFont val="Czcionka tekstu podstawowego"/>
        <charset val="238"/>
      </rPr>
      <t>÷</t>
    </r>
    <r>
      <rPr>
        <sz val="8"/>
        <rFont val="Arial"/>
        <family val="2"/>
        <charset val="238"/>
      </rPr>
      <t>042</t>
    </r>
  </si>
  <si>
    <t>styropian grafitowy EPS 031÷033</t>
  </si>
  <si>
    <t>polistyren XPS 033÷038</t>
  </si>
  <si>
    <t>EPS 038÷042 fasade styrofoam</t>
  </si>
  <si>
    <t>пенопласт фасада EPS 038÷042</t>
  </si>
  <si>
    <t>EPS 031÷033 graphite styrofoam</t>
  </si>
  <si>
    <t>пенопласт графит EPS 031÷033</t>
  </si>
  <si>
    <t>полистирол XPS 033÷038</t>
  </si>
  <si>
    <t>XPS-Platten 033÷038</t>
  </si>
  <si>
    <t>XPS 033÷038 polystyrene</t>
  </si>
  <si>
    <t xml:space="preserve">Szacunkowy współczynnik przenikania ciepła Uc: </t>
  </si>
  <si>
    <t xml:space="preserve">Uc: </t>
  </si>
  <si>
    <t xml:space="preserve"> nie spełnia wymagań WT - zwiększ grubość izolacji</t>
  </si>
  <si>
    <t xml:space="preserve"> - ściana spełnia wymagania WT (01.01.2021)</t>
  </si>
  <si>
    <t xml:space="preserve"> - ściana na granicy wymagań WT (01.01.2021)</t>
  </si>
  <si>
    <t xml:space="preserve"> - increase the thickness of thermal insulation</t>
  </si>
  <si>
    <t xml:space="preserve"> - Erhöhen Sie die Dicke der Wärmedämmung</t>
  </si>
  <si>
    <t xml:space="preserve"> - увеличить толщину теплоизоляции</t>
  </si>
  <si>
    <t xml:space="preserve"> </t>
  </si>
  <si>
    <t>Language:</t>
  </si>
  <si>
    <t>Dane</t>
  </si>
  <si>
    <t>Проектa:</t>
  </si>
  <si>
    <t>Project</t>
  </si>
  <si>
    <t>Данные</t>
  </si>
  <si>
    <t>Projekt</t>
  </si>
  <si>
    <t>projektu:</t>
  </si>
  <si>
    <t>data:</t>
  </si>
  <si>
    <t>dystrybutora:</t>
  </si>
  <si>
    <t>дистрибьюторa:</t>
  </si>
  <si>
    <t>Daten:</t>
  </si>
  <si>
    <t>Piotrowice Sp. z o.o.</t>
  </si>
  <si>
    <t>27-630 Zawichost, Piotrowice 106, tel +48 41 3721100</t>
  </si>
  <si>
    <r>
      <t>styropian fasadowy EPS 034</t>
    </r>
    <r>
      <rPr>
        <sz val="8"/>
        <rFont val="Czcionka tekstu podstawowego"/>
        <charset val="238"/>
      </rPr>
      <t>÷</t>
    </r>
    <r>
      <rPr>
        <sz val="8"/>
        <rFont val="Arial"/>
        <family val="2"/>
        <charset val="238"/>
      </rPr>
      <t>037</t>
    </r>
  </si>
  <si>
    <t>EPS 034÷037 fasade styrofoam</t>
  </si>
  <si>
    <t>Fassade-Platten EPS 034÷037</t>
  </si>
  <si>
    <t>Fassade-Platten EPS 038÷042</t>
  </si>
  <si>
    <t>Graphit-Platten EPS 031÷033</t>
  </si>
  <si>
    <t>пенопласт фасада EPS 034÷037</t>
  </si>
  <si>
    <t xml:space="preserve">Nazwa projektu, ulica, miejscowość </t>
  </si>
  <si>
    <t>dopłaty tynki</t>
  </si>
  <si>
    <t>Powyższe kalkulacje nie stanowią oferty w rozumieniu Kodeksu Cywilnego i mają charakter wyłącznie informacyjny.
Przyjęte zużycie materiałów może ulec zmianie w zależności od sposobu aplikacji, jakości podłoża i doświadczenia wykonawcy.</t>
  </si>
  <si>
    <t>The above calculations do not constitute an offer and are for information purposes only.
The amount of material consumption depends on the quality of the substrate and experience of the contractor.</t>
  </si>
  <si>
    <t>Die obigen Berechnungen stellen kein Angebot dar und dienen nur zu Informationszwecken. Die Höhe des Materialverbrauchs ist abhängig von der Auftragsart, der Beschaffenheit des Untergrundes und der Erfahrung des Auftragnehmers.</t>
  </si>
  <si>
    <t>Вышеуказанные расчеты не являются предложением и предназначены только для информационных целей.
Количество расхода материала зависит от способа нанесения, качества основания и опыта подрядчика.</t>
  </si>
  <si>
    <t>- wersja 2023.04</t>
  </si>
  <si>
    <t>- version 2023.04</t>
  </si>
  <si>
    <t>- Version 2023.04</t>
  </si>
  <si>
    <t>- версия 2023.04</t>
  </si>
  <si>
    <t>PL 01.04.2023</t>
  </si>
  <si>
    <t>AT 360 - tynk silikonowy baranek 1 mm</t>
  </si>
  <si>
    <t>AT 361 - tynk silikonowy baranek 1,5 mm</t>
  </si>
  <si>
    <t>AT 362 - tynk silikonowy baranek 2 mm</t>
  </si>
  <si>
    <t>AT 367 - tynk silikonowy kornik 2 mm</t>
  </si>
  <si>
    <t>AT 360 - Silicone plaster dashed plaster 1 mm</t>
  </si>
  <si>
    <t>AT 361 - Silicone plaster dashed plaster 1,5 mm</t>
  </si>
  <si>
    <t>AT 362 - Silicone plaster dashed plaster 2 mm</t>
  </si>
  <si>
    <t>AT 367 - Silicone plaster pitted plaster 2 mm</t>
  </si>
  <si>
    <t>AT 360 - Silikonharz Scheibenputz 1 mm</t>
  </si>
  <si>
    <t>AT 361 - Silikonharz Scheibenputz 1,5 mm</t>
  </si>
  <si>
    <t>AT 362 - Silikonharz Scheibenputz 2 mm</t>
  </si>
  <si>
    <t>AT 367 - Silikonharz Rillenputz 2 mm</t>
  </si>
  <si>
    <t>AT 360 - Cиликоновaя - шуба 1 мм</t>
  </si>
  <si>
    <t>AT 361 - Cиликоновaя - шуба 1,5 мм</t>
  </si>
  <si>
    <t>AT 362 - Cиликоновaя - шуба 2 мм</t>
  </si>
  <si>
    <t>AT 367 - Cиликоновaя - короед 2 мм</t>
  </si>
  <si>
    <t>Kurs EUR / PLN:</t>
  </si>
  <si>
    <t>Exchange EUR / PLN:</t>
  </si>
  <si>
    <t>Wechselkurs EUR / PLN:</t>
  </si>
  <si>
    <t>Курс EUR /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</si>
</sst>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yyyy/mm/dd;@"/>
    <numFmt numFmtId="166" formatCode="0.0%"/>
    <numFmt numFmtId="167" formatCode="0&quot; L&quot;"/>
    <numFmt numFmtId="168" formatCode="0&quot; Kg&quot;"/>
    <numFmt numFmtId="169" formatCode="0.0000"/>
    <numFmt numFmtId="170" formatCode="0.000"/>
  </numFmts>
  <fonts count="38">
    <font>
      <sz val="10"/>
      <name val="Arial"/>
      <charset val="238"/>
    </font>
    <font>
      <sz val="10"/>
      <name val="Arial"/>
      <family val="2"/>
      <charset val="238"/>
    </font>
    <font>
      <sz val="8"/>
      <name val="Arial"/>
      <family val="2"/>
      <charset val="238"/>
    </font>
    <font>
      <b/>
      <sz val="10"/>
      <name val="Arial"/>
      <family val="2"/>
      <charset val="238"/>
    </font>
    <font>
      <sz val="10"/>
      <name val="Arial"/>
      <family val="2"/>
      <charset val="238"/>
    </font>
    <font>
      <sz val="9"/>
      <name val="Arial"/>
      <family val="2"/>
      <charset val="238"/>
    </font>
    <font>
      <b/>
      <sz val="9"/>
      <name val="Arial"/>
      <family val="2"/>
      <charset val="238"/>
    </font>
    <font>
      <b/>
      <sz val="9"/>
      <name val="Arial"/>
      <family val="2"/>
      <charset val="238"/>
    </font>
    <font>
      <b/>
      <sz val="10"/>
      <name val="Arial"/>
      <family val="2"/>
      <charset val="238"/>
    </font>
    <font>
      <b/>
      <sz val="11"/>
      <name val="Arial"/>
      <family val="2"/>
      <charset val="238"/>
    </font>
    <font>
      <sz val="10"/>
      <name val="Arial"/>
      <family val="2"/>
      <charset val="238"/>
    </font>
    <font>
      <sz val="9"/>
      <name val="Arial"/>
      <family val="2"/>
      <charset val="238"/>
    </font>
    <font>
      <sz val="11"/>
      <name val="Arial"/>
      <family val="2"/>
      <charset val="238"/>
    </font>
    <font>
      <sz val="10"/>
      <color indexed="16"/>
      <name val="Arial"/>
      <family val="2"/>
      <charset val="238"/>
    </font>
    <font>
      <b/>
      <sz val="8"/>
      <name val="Arial"/>
      <family val="2"/>
      <charset val="238"/>
    </font>
    <font>
      <sz val="9"/>
      <color indexed="22"/>
      <name val="Arial"/>
      <family val="2"/>
      <charset val="238"/>
    </font>
    <font>
      <sz val="9"/>
      <color indexed="12"/>
      <name val="Arial"/>
      <family val="2"/>
      <charset val="238"/>
    </font>
    <font>
      <b/>
      <sz val="8"/>
      <color indexed="81"/>
      <name val="Tahoma"/>
      <family val="2"/>
      <charset val="238"/>
    </font>
    <font>
      <sz val="8"/>
      <color indexed="23"/>
      <name val="Tahoma"/>
      <family val="2"/>
      <charset val="238"/>
    </font>
    <font>
      <sz val="10"/>
      <color indexed="23"/>
      <name val="Arial"/>
      <family val="2"/>
      <charset val="238"/>
    </font>
    <font>
      <b/>
      <sz val="10"/>
      <color indexed="23"/>
      <name val="Arial"/>
      <family val="2"/>
      <charset val="238"/>
    </font>
    <font>
      <b/>
      <sz val="8"/>
      <color indexed="16"/>
      <name val="Tahoma"/>
      <family val="2"/>
      <charset val="238"/>
    </font>
    <font>
      <sz val="8"/>
      <color indexed="81"/>
      <name val="Tahoma"/>
      <family val="2"/>
      <charset val="238"/>
    </font>
    <font>
      <sz val="8"/>
      <color indexed="23"/>
      <name val="Arial"/>
      <family val="2"/>
      <charset val="238"/>
    </font>
    <font>
      <b/>
      <sz val="8"/>
      <color indexed="23"/>
      <name val="Tahoma"/>
      <family val="2"/>
      <charset val="238"/>
    </font>
    <font>
      <b/>
      <sz val="10"/>
      <color rgb="FF002060"/>
      <name val="Arial"/>
      <family val="2"/>
      <charset val="238"/>
    </font>
    <font>
      <vertAlign val="superscript"/>
      <sz val="8"/>
      <name val="Arial"/>
      <family val="2"/>
      <charset val="238"/>
    </font>
    <font>
      <sz val="8"/>
      <name val="Times New Roman"/>
      <family val="1"/>
      <charset val="238"/>
    </font>
    <font>
      <sz val="8"/>
      <name val="Arial"/>
      <family val="2"/>
      <charset val="238"/>
    </font>
    <font>
      <sz val="10"/>
      <color rgb="FFC00000"/>
      <name val="Arial"/>
      <family val="2"/>
      <charset val="238"/>
    </font>
    <font>
      <b/>
      <sz val="10"/>
      <name val="Czcionka tekstu podstawowego"/>
      <charset val="238"/>
    </font>
    <font>
      <sz val="8"/>
      <name val="Czcionka tekstu podstawowego"/>
      <charset val="238"/>
    </font>
    <font>
      <sz val="8"/>
      <color indexed="23"/>
      <name val="Czcionka tekstu podstawowego"/>
      <charset val="238"/>
    </font>
    <font>
      <sz val="10"/>
      <color theme="0" tint="-0.499984740745262"/>
      <name val="Arial"/>
      <family val="2"/>
      <charset val="238"/>
    </font>
    <font>
      <b/>
      <sz val="14"/>
      <name val="Arial"/>
      <family val="2"/>
      <charset val="238"/>
    </font>
    <font>
      <sz val="14"/>
      <name val="Arial"/>
      <family val="2"/>
      <charset val="238"/>
    </font>
    <font>
      <sz val="9"/>
      <color rgb="FF002060"/>
      <name val="Arial"/>
      <family val="2"/>
      <charset val="238"/>
    </font>
    <font>
      <i/>
      <sz val="8"/>
      <name val="Arial"/>
      <family val="2"/>
      <charset val="238"/>
    </font>
  </fonts>
  <fills count="3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9"/>
        <bgColor indexed="64"/>
      </patternFill>
    </fill>
    <fill>
      <patternFill patternType="solid">
        <fgColor indexed="31"/>
        <bgColor indexed="64"/>
      </patternFill>
    </fill>
    <fill>
      <patternFill patternType="solid">
        <fgColor indexed="24"/>
        <bgColor indexed="64"/>
      </patternFill>
    </fill>
    <fill>
      <patternFill patternType="solid">
        <fgColor indexed="26"/>
        <bgColor indexed="64"/>
      </patternFill>
    </fill>
    <fill>
      <patternFill patternType="solid">
        <fgColor theme="8" tint="0.39994506668294322"/>
        <bgColor indexed="64"/>
      </patternFill>
    </fill>
    <fill>
      <patternFill patternType="solid">
        <fgColor indexed="46"/>
        <bgColor indexed="64"/>
      </patternFill>
    </fill>
    <fill>
      <gradientFill degree="90">
        <stop position="0">
          <color theme="0"/>
        </stop>
        <stop position="1">
          <color theme="0" tint="-0.25098422193060094"/>
        </stop>
      </gradientFill>
    </fill>
    <fill>
      <gradientFill degree="90">
        <stop position="0">
          <color theme="0"/>
        </stop>
        <stop position="1">
          <color theme="2"/>
        </stop>
      </gradientFill>
    </fill>
    <fill>
      <gradientFill degree="90">
        <stop position="0">
          <color theme="0"/>
        </stop>
        <stop position="1">
          <color rgb="FF87A9D3"/>
        </stop>
      </gradientFill>
    </fill>
    <fill>
      <gradientFill degree="90">
        <stop position="0">
          <color theme="0"/>
        </stop>
        <stop position="1">
          <color rgb="FFF3F2E9"/>
        </stop>
      </gradientFill>
    </fill>
    <fill>
      <patternFill patternType="solid">
        <fgColor theme="4" tint="0.79998168889431442"/>
        <bgColor auto="1"/>
      </patternFill>
    </fill>
    <fill>
      <patternFill patternType="solid">
        <fgColor theme="4" tint="0.79998168889431442"/>
        <bgColor indexed="64"/>
      </patternFill>
    </fill>
    <fill>
      <gradientFill degree="90">
        <stop position="0">
          <color rgb="FFC4D5EA"/>
        </stop>
        <stop position="1">
          <color rgb="FF87A9D3"/>
        </stop>
      </gradientFill>
    </fill>
    <fill>
      <patternFill patternType="solid">
        <fgColor rgb="FFF3F2E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auto="1"/>
      </patternFill>
    </fill>
    <fill>
      <patternFill patternType="solid">
        <fgColor rgb="FFC4D5EA"/>
        <bgColor indexed="64"/>
      </patternFill>
    </fill>
    <fill>
      <gradientFill degree="90">
        <stop position="0">
          <color rgb="FFFFB7B7"/>
        </stop>
        <stop position="1">
          <color rgb="FFF50000"/>
        </stop>
      </gradientFill>
    </fill>
    <fill>
      <patternFill patternType="solid">
        <fgColor theme="0" tint="-4.9989318521683403E-2"/>
        <bgColor auto="1"/>
      </patternFill>
    </fill>
    <fill>
      <patternFill patternType="solid">
        <fgColor theme="0" tint="-0.24994659260841701"/>
        <bgColor indexed="64"/>
      </patternFill>
    </fill>
    <fill>
      <patternFill patternType="solid">
        <fgColor theme="0" tint="-0.14996795556505021"/>
        <bgColor indexed="64"/>
      </patternFill>
    </fill>
    <fill>
      <gradientFill degree="90">
        <stop position="0">
          <color theme="0"/>
        </stop>
        <stop position="1">
          <color theme="0" tint="-5.0965910824915313E-2"/>
        </stop>
      </gradientFill>
    </fill>
    <fill>
      <gradientFill degree="90">
        <stop position="0">
          <color rgb="FFF6F9FC"/>
        </stop>
        <stop position="1">
          <color rgb="FFC4D5EA"/>
        </stop>
      </gradientFill>
    </fill>
    <fill>
      <gradientFill degree="90">
        <stop position="0">
          <color theme="0"/>
        </stop>
        <stop position="1">
          <color theme="4" tint="0.80001220740379042"/>
        </stop>
      </gradientFill>
    </fill>
    <fill>
      <gradientFill degree="90">
        <stop position="0">
          <color theme="0"/>
        </stop>
        <stop position="1">
          <color theme="0" tint="-0.49803155613879818"/>
        </stop>
      </gradientFill>
    </fill>
    <fill>
      <gradientFill degree="90">
        <stop position="0">
          <color rgb="FFF6F9FC"/>
        </stop>
        <stop position="1">
          <color rgb="FF87A9D3"/>
        </stop>
      </gradientFill>
    </fill>
  </fills>
  <borders count="143">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12"/>
      </left>
      <right style="thin">
        <color indexed="12"/>
      </right>
      <top/>
      <bottom/>
      <diagonal/>
    </border>
    <border>
      <left style="thin">
        <color indexed="12"/>
      </left>
      <right style="thin">
        <color indexed="12"/>
      </right>
      <top/>
      <bottom style="thin">
        <color indexed="12"/>
      </bottom>
      <diagonal/>
    </border>
    <border>
      <left style="thin">
        <color indexed="12"/>
      </left>
      <right style="thin">
        <color indexed="12"/>
      </right>
      <top style="hair">
        <color indexed="12"/>
      </top>
      <bottom style="hair">
        <color indexed="12"/>
      </bottom>
      <diagonal/>
    </border>
    <border>
      <left style="thin">
        <color indexed="9"/>
      </left>
      <right style="thin">
        <color indexed="9"/>
      </right>
      <top/>
      <bottom style="thin">
        <color indexed="9"/>
      </bottom>
      <diagonal/>
    </border>
    <border>
      <left/>
      <right/>
      <top style="thin">
        <color indexed="9"/>
      </top>
      <bottom/>
      <diagonal/>
    </border>
    <border>
      <left style="thick">
        <color indexed="55"/>
      </left>
      <right/>
      <top style="thin">
        <color indexed="64"/>
      </top>
      <bottom/>
      <diagonal/>
    </border>
    <border>
      <left style="thick">
        <color indexed="55"/>
      </left>
      <right/>
      <top/>
      <bottom/>
      <diagonal/>
    </border>
    <border>
      <left style="thick">
        <color indexed="55"/>
      </left>
      <right style="thick">
        <color indexed="55"/>
      </right>
      <top/>
      <bottom style="thick">
        <color indexed="55"/>
      </bottom>
      <diagonal/>
    </border>
    <border>
      <left style="thick">
        <color indexed="55"/>
      </left>
      <right style="thick">
        <color indexed="55"/>
      </right>
      <top/>
      <bottom/>
      <diagonal/>
    </border>
    <border>
      <left/>
      <right style="thin">
        <color indexed="9"/>
      </right>
      <top style="thin">
        <color indexed="9"/>
      </top>
      <bottom/>
      <diagonal/>
    </border>
    <border>
      <left style="thin">
        <color indexed="12"/>
      </left>
      <right style="thin">
        <color indexed="12"/>
      </right>
      <top/>
      <bottom style="hair">
        <color indexed="12"/>
      </bottom>
      <diagonal/>
    </border>
    <border>
      <left style="thin">
        <color indexed="12"/>
      </left>
      <right style="thin">
        <color indexed="12"/>
      </right>
      <top style="hair">
        <color indexed="12"/>
      </top>
      <bottom style="thin">
        <color indexed="12"/>
      </bottom>
      <diagonal/>
    </border>
    <border>
      <left style="thin">
        <color indexed="12"/>
      </left>
      <right style="thin">
        <color indexed="12"/>
      </right>
      <top style="thin">
        <color indexed="12"/>
      </top>
      <bottom style="thin">
        <color indexed="12"/>
      </bottom>
      <diagonal/>
    </border>
    <border>
      <left/>
      <right style="thin">
        <color indexed="23"/>
      </right>
      <top style="thin">
        <color indexed="23"/>
      </top>
      <bottom style="thin">
        <color indexed="23"/>
      </bottom>
      <diagonal/>
    </border>
    <border>
      <left style="thick">
        <color indexed="55"/>
      </left>
      <right style="thick">
        <color indexed="55"/>
      </right>
      <top style="thin">
        <color indexed="9"/>
      </top>
      <bottom style="thin">
        <color indexed="55"/>
      </bottom>
      <diagonal/>
    </border>
    <border>
      <left style="thick">
        <color indexed="55"/>
      </left>
      <right style="thick">
        <color indexed="55"/>
      </right>
      <top style="thin">
        <color indexed="9"/>
      </top>
      <bottom style="thick">
        <color indexed="55"/>
      </bottom>
      <diagonal/>
    </border>
    <border>
      <left style="thick">
        <color indexed="55"/>
      </left>
      <right style="thick">
        <color indexed="55"/>
      </right>
      <top/>
      <bottom style="thin">
        <color indexed="55"/>
      </bottom>
      <diagonal/>
    </border>
    <border>
      <left style="thin">
        <color indexed="55"/>
      </left>
      <right style="thick">
        <color indexed="55"/>
      </right>
      <top style="thin">
        <color indexed="55"/>
      </top>
      <bottom style="thin">
        <color indexed="9"/>
      </bottom>
      <diagonal/>
    </border>
    <border>
      <left style="thick">
        <color indexed="55"/>
      </left>
      <right style="thick">
        <color indexed="55"/>
      </right>
      <top style="thin">
        <color indexed="23"/>
      </top>
      <bottom style="thin">
        <color indexed="22"/>
      </bottom>
      <diagonal/>
    </border>
    <border>
      <left style="thick">
        <color indexed="55"/>
      </left>
      <right style="thick">
        <color indexed="55"/>
      </right>
      <top style="thin">
        <color indexed="22"/>
      </top>
      <bottom style="thin">
        <color indexed="9"/>
      </bottom>
      <diagonal/>
    </border>
    <border>
      <left style="thin">
        <color indexed="12"/>
      </left>
      <right/>
      <top/>
      <bottom/>
      <diagonal/>
    </border>
    <border>
      <left style="thin">
        <color indexed="62"/>
      </left>
      <right style="thin">
        <color indexed="62"/>
      </right>
      <top style="hair">
        <color indexed="12"/>
      </top>
      <bottom style="hair">
        <color indexed="62"/>
      </bottom>
      <diagonal/>
    </border>
    <border>
      <left style="thin">
        <color indexed="62"/>
      </left>
      <right style="thin">
        <color indexed="62"/>
      </right>
      <top style="hair">
        <color indexed="62"/>
      </top>
      <bottom style="hair">
        <color indexed="62"/>
      </bottom>
      <diagonal/>
    </border>
    <border>
      <left style="thin">
        <color indexed="62"/>
      </left>
      <right style="thin">
        <color indexed="62"/>
      </right>
      <top style="thin">
        <color indexed="62"/>
      </top>
      <bottom/>
      <diagonal/>
    </border>
    <border>
      <left style="thin">
        <color indexed="62"/>
      </left>
      <right style="thin">
        <color indexed="62"/>
      </right>
      <top/>
      <bottom style="thin">
        <color indexed="62"/>
      </bottom>
      <diagonal/>
    </border>
    <border>
      <left/>
      <right style="thin">
        <color indexed="12"/>
      </right>
      <top style="thin">
        <color indexed="12"/>
      </top>
      <bottom/>
      <diagonal/>
    </border>
    <border>
      <left style="thin">
        <color indexed="12"/>
      </left>
      <right style="thin">
        <color indexed="12"/>
      </right>
      <top style="thin">
        <color indexed="12"/>
      </top>
      <bottom/>
      <diagonal/>
    </border>
    <border>
      <left/>
      <right style="thin">
        <color indexed="12"/>
      </right>
      <top/>
      <bottom style="thin">
        <color indexed="12"/>
      </bottom>
      <diagonal/>
    </border>
    <border>
      <left/>
      <right style="thin">
        <color indexed="12"/>
      </right>
      <top/>
      <bottom/>
      <diagonal/>
    </border>
    <border>
      <left style="thin">
        <color indexed="62"/>
      </left>
      <right style="thin">
        <color indexed="62"/>
      </right>
      <top/>
      <bottom style="hair">
        <color indexed="62"/>
      </bottom>
      <diagonal/>
    </border>
    <border>
      <left style="thin">
        <color indexed="12"/>
      </left>
      <right style="thin">
        <color indexed="12"/>
      </right>
      <top style="thin">
        <color indexed="12"/>
      </top>
      <bottom style="hair">
        <color indexed="12"/>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55"/>
      </left>
      <right style="thick">
        <color indexed="55"/>
      </right>
      <top style="thick">
        <color indexed="55"/>
      </top>
      <bottom/>
      <diagonal/>
    </border>
    <border>
      <left style="thick">
        <color indexed="55"/>
      </left>
      <right style="thick">
        <color indexed="55"/>
      </right>
      <top/>
      <bottom style="thin">
        <color indexed="23"/>
      </bottom>
      <diagonal/>
    </border>
    <border>
      <left/>
      <right style="thin">
        <color indexed="9"/>
      </right>
      <top/>
      <bottom/>
      <diagonal/>
    </border>
    <border>
      <left/>
      <right/>
      <top/>
      <bottom style="thin">
        <color indexed="9"/>
      </bottom>
      <diagonal/>
    </border>
    <border>
      <left/>
      <right/>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style="thin">
        <color indexed="12"/>
      </top>
      <bottom style="thin">
        <color indexed="62"/>
      </bottom>
      <diagonal/>
    </border>
    <border>
      <left style="thin">
        <color theme="0"/>
      </left>
      <right style="thin">
        <color theme="0"/>
      </right>
      <top style="thin">
        <color indexed="12"/>
      </top>
      <bottom style="thin">
        <color indexed="62"/>
      </bottom>
      <diagonal/>
    </border>
    <border>
      <left style="thin">
        <color theme="0"/>
      </left>
      <right/>
      <top style="thin">
        <color indexed="12"/>
      </top>
      <bottom style="thin">
        <color indexed="62"/>
      </bottom>
      <diagonal/>
    </border>
    <border>
      <left style="thin">
        <color indexed="23"/>
      </left>
      <right style="thin">
        <color indexed="23"/>
      </right>
      <top style="thin">
        <color indexed="23"/>
      </top>
      <bottom style="thin">
        <color indexed="23"/>
      </bottom>
      <diagonal/>
    </border>
    <border>
      <left style="thin">
        <color indexed="12"/>
      </left>
      <right/>
      <top style="thin">
        <color indexed="12"/>
      </top>
      <bottom/>
      <diagonal/>
    </border>
    <border>
      <left/>
      <right/>
      <top style="thin">
        <color indexed="12"/>
      </top>
      <bottom/>
      <diagonal/>
    </border>
    <border>
      <left/>
      <right style="thin">
        <color theme="0"/>
      </right>
      <top/>
      <bottom style="thin">
        <color theme="0"/>
      </bottom>
      <diagonal/>
    </border>
    <border>
      <left style="thin">
        <color indexed="9"/>
      </left>
      <right style="thin">
        <color indexed="9"/>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top style="thin">
        <color indexed="55"/>
      </top>
      <bottom/>
      <diagonal/>
    </border>
    <border>
      <left style="thick">
        <color indexed="55"/>
      </left>
      <right style="thick">
        <color indexed="55"/>
      </right>
      <top/>
      <bottom style="thin">
        <color indexed="22"/>
      </bottom>
      <diagonal/>
    </border>
    <border>
      <left style="thick">
        <color indexed="55"/>
      </left>
      <right style="thick">
        <color indexed="55"/>
      </right>
      <top style="thin">
        <color indexed="22"/>
      </top>
      <bottom style="thin">
        <color indexed="22"/>
      </bottom>
      <diagonal/>
    </border>
    <border>
      <left style="thick">
        <color indexed="55"/>
      </left>
      <right style="thick">
        <color indexed="55"/>
      </right>
      <top style="thin">
        <color indexed="22"/>
      </top>
      <bottom/>
      <diagonal/>
    </border>
    <border>
      <left style="thick">
        <color indexed="55"/>
      </left>
      <right style="thick">
        <color indexed="55"/>
      </right>
      <top style="thin">
        <color indexed="9"/>
      </top>
      <bottom/>
      <diagonal/>
    </border>
    <border>
      <left style="thick">
        <color indexed="55"/>
      </left>
      <right style="thick">
        <color indexed="55"/>
      </right>
      <top style="thin">
        <color indexed="55"/>
      </top>
      <bottom style="thin">
        <color indexed="9"/>
      </bottom>
      <diagonal/>
    </border>
    <border>
      <left style="thin">
        <color theme="0"/>
      </left>
      <right style="thin">
        <color theme="0"/>
      </right>
      <top/>
      <bottom/>
      <diagonal/>
    </border>
    <border>
      <left style="thin">
        <color theme="0"/>
      </left>
      <right style="thin">
        <color theme="0"/>
      </right>
      <top style="thin">
        <color indexed="9"/>
      </top>
      <bottom style="thin">
        <color indexed="9"/>
      </bottom>
      <diagonal/>
    </border>
    <border>
      <left style="thin">
        <color theme="0"/>
      </left>
      <right style="thin">
        <color theme="0"/>
      </right>
      <top style="thin">
        <color indexed="9"/>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rgb="FFC4D5EA"/>
      </bottom>
      <diagonal/>
    </border>
    <border>
      <left/>
      <right/>
      <top style="thin">
        <color rgb="FFC4D5EA"/>
      </top>
      <bottom/>
      <diagonal/>
    </border>
    <border>
      <left/>
      <right/>
      <top style="thin">
        <color rgb="FFC4D5EA"/>
      </top>
      <bottom style="thin">
        <color theme="0"/>
      </bottom>
      <diagonal/>
    </border>
    <border>
      <left style="thin">
        <color indexed="9"/>
      </left>
      <right/>
      <top style="thin">
        <color theme="0"/>
      </top>
      <bottom style="thin">
        <color indexed="9"/>
      </bottom>
      <diagonal/>
    </border>
    <border>
      <left/>
      <right/>
      <top style="thin">
        <color theme="0"/>
      </top>
      <bottom style="thin">
        <color indexed="9"/>
      </bottom>
      <diagonal/>
    </border>
    <border>
      <left/>
      <right style="thin">
        <color indexed="9"/>
      </right>
      <top style="thin">
        <color theme="0"/>
      </top>
      <bottom style="thin">
        <color indexed="9"/>
      </bottom>
      <diagonal/>
    </border>
    <border>
      <left/>
      <right style="thin">
        <color theme="0"/>
      </right>
      <top style="thin">
        <color indexed="9"/>
      </top>
      <bottom/>
      <diagonal/>
    </border>
    <border>
      <left/>
      <right/>
      <top/>
      <bottom style="thin">
        <color theme="0" tint="-0.24994659260841701"/>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C4D5EA"/>
      </left>
      <right/>
      <top style="thin">
        <color rgb="FFC4D5EA"/>
      </top>
      <bottom/>
      <diagonal/>
    </border>
    <border>
      <left style="thin">
        <color rgb="FFC4D5EA"/>
      </left>
      <right/>
      <top/>
      <bottom style="thin">
        <color rgb="FFC4D5EA"/>
      </bottom>
      <diagonal/>
    </border>
    <border>
      <left style="thin">
        <color rgb="FFC4D5EA"/>
      </left>
      <right/>
      <top/>
      <bottom/>
      <diagonal/>
    </border>
    <border>
      <left/>
      <right style="thin">
        <color rgb="FFC4D5EA"/>
      </right>
      <top style="thin">
        <color rgb="FFC4D5EA"/>
      </top>
      <bottom/>
      <diagonal/>
    </border>
    <border>
      <left/>
      <right style="thin">
        <color rgb="FFC4D5EA"/>
      </right>
      <top/>
      <bottom style="thin">
        <color rgb="FFC4D5EA"/>
      </bottom>
      <diagonal/>
    </border>
    <border>
      <left/>
      <right style="thin">
        <color rgb="FFC4D5EA"/>
      </right>
      <top/>
      <bottom/>
      <diagonal/>
    </border>
    <border>
      <left/>
      <right style="thin">
        <color rgb="FFC4D5EA"/>
      </right>
      <top style="thin">
        <color rgb="FFC4D5EA"/>
      </top>
      <bottom style="thin">
        <color theme="0"/>
      </bottom>
      <diagonal/>
    </border>
    <border>
      <left/>
      <right style="thin">
        <color rgb="FFC4D5EA"/>
      </right>
      <top style="thin">
        <color theme="0"/>
      </top>
      <bottom style="thin">
        <color theme="0"/>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indexed="9"/>
      </left>
      <right style="thin">
        <color indexed="9"/>
      </right>
      <top style="thin">
        <color theme="0" tint="-0.24994659260841701"/>
      </top>
      <bottom/>
      <diagonal/>
    </border>
    <border>
      <left style="thin">
        <color indexed="9"/>
      </left>
      <right/>
      <top style="thin">
        <color theme="0" tint="-0.24994659260841701"/>
      </top>
      <bottom style="thin">
        <color indexed="9"/>
      </bottom>
      <diagonal/>
    </border>
    <border>
      <left/>
      <right style="thin">
        <color theme="0" tint="-0.24994659260841701"/>
      </right>
      <top style="thin">
        <color theme="0" tint="-0.24994659260841701"/>
      </top>
      <bottom style="thin">
        <color indexed="9"/>
      </bottom>
      <diagonal/>
    </border>
    <border>
      <left style="thin">
        <color theme="0" tint="-0.24994659260841701"/>
      </left>
      <right/>
      <top/>
      <bottom/>
      <diagonal/>
    </border>
    <border>
      <left style="thin">
        <color indexed="9"/>
      </left>
      <right style="thin">
        <color theme="0" tint="-0.24994659260841701"/>
      </right>
      <top style="thin">
        <color indexed="9"/>
      </top>
      <bottom/>
      <diagonal/>
    </border>
    <border>
      <left style="thin">
        <color theme="0" tint="-0.24994659260841701"/>
      </left>
      <right/>
      <top style="thin">
        <color indexed="9"/>
      </top>
      <bottom/>
      <diagonal/>
    </border>
    <border>
      <left style="thin">
        <color theme="0"/>
      </left>
      <right style="thin">
        <color theme="0" tint="-0.24994659260841701"/>
      </right>
      <top/>
      <bottom/>
      <diagonal/>
    </border>
    <border>
      <left style="thin">
        <color theme="0" tint="-0.24994659260841701"/>
      </left>
      <right/>
      <top/>
      <bottom style="thin">
        <color indexed="9"/>
      </bottom>
      <diagonal/>
    </border>
    <border>
      <left style="thin">
        <color theme="0" tint="-0.24994659260841701"/>
      </left>
      <right/>
      <top style="thin">
        <color indexed="9"/>
      </top>
      <bottom style="thin">
        <color indexed="9"/>
      </bottom>
      <diagonal/>
    </border>
    <border>
      <left style="thin">
        <color indexed="9"/>
      </left>
      <right style="thin">
        <color theme="0" tint="-0.24994659260841701"/>
      </right>
      <top style="thin">
        <color indexed="9"/>
      </top>
      <bottom style="thin">
        <color indexed="9"/>
      </bottom>
      <diagonal/>
    </border>
    <border>
      <left style="thin">
        <color theme="0"/>
      </left>
      <right style="thin">
        <color theme="0" tint="-0.24994659260841701"/>
      </right>
      <top style="thin">
        <color indexed="9"/>
      </top>
      <bottom style="thin">
        <color indexed="9"/>
      </bottom>
      <diagonal/>
    </border>
    <border>
      <left/>
      <right style="thin">
        <color theme="0" tint="-0.24994659260841701"/>
      </right>
      <top/>
      <bottom/>
      <diagonal/>
    </border>
    <border>
      <left style="thin">
        <color theme="0" tint="-0.24994659260841701"/>
      </left>
      <right/>
      <top style="thin">
        <color theme="0"/>
      </top>
      <bottom/>
      <diagonal/>
    </border>
    <border>
      <left style="thin">
        <color theme="0" tint="-0.24994659260841701"/>
      </left>
      <right style="thin">
        <color theme="0"/>
      </right>
      <top/>
      <bottom style="thin">
        <color theme="0"/>
      </bottom>
      <diagonal/>
    </border>
    <border>
      <left style="thin">
        <color theme="0"/>
      </left>
      <right style="thin">
        <color theme="0" tint="-0.24994659260841701"/>
      </right>
      <top/>
      <bottom style="thin">
        <color theme="0"/>
      </bottom>
      <diagonal/>
    </border>
    <border>
      <left style="thin">
        <color theme="0" tint="-0.24994659260841701"/>
      </left>
      <right style="thin">
        <color theme="0"/>
      </right>
      <top style="thin">
        <color theme="0"/>
      </top>
      <bottom style="thin">
        <color theme="0"/>
      </bottom>
      <diagonal/>
    </border>
    <border>
      <left style="thin">
        <color theme="0"/>
      </left>
      <right style="thin">
        <color theme="0" tint="-0.24994659260841701"/>
      </right>
      <top style="thin">
        <color theme="0"/>
      </top>
      <bottom style="thin">
        <color theme="0"/>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left>
      <right style="thin">
        <color theme="0" tint="-0.24994659260841701"/>
      </right>
      <top style="thin">
        <color theme="0"/>
      </top>
      <bottom/>
      <diagonal/>
    </border>
    <border>
      <left style="thin">
        <color theme="0" tint="-0.24994659260841701"/>
      </left>
      <right/>
      <top/>
      <bottom style="thin">
        <color theme="0"/>
      </bottom>
      <diagonal/>
    </border>
    <border>
      <left style="thin">
        <color theme="0"/>
      </left>
      <right style="thin">
        <color theme="0"/>
      </right>
      <top style="thin">
        <color indexed="9"/>
      </top>
      <bottom style="thin">
        <color theme="0"/>
      </bottom>
      <diagonal/>
    </border>
    <border>
      <left/>
      <right style="thin">
        <color theme="0"/>
      </right>
      <top style="thin">
        <color indexed="9"/>
      </top>
      <bottom style="thin">
        <color indexed="9"/>
      </bottom>
      <diagonal/>
    </border>
    <border>
      <left/>
      <right style="thin">
        <color theme="0"/>
      </right>
      <top style="thin">
        <color indexed="9"/>
      </top>
      <bottom style="thin">
        <color theme="0"/>
      </bottom>
      <diagonal/>
    </border>
    <border>
      <left style="thin">
        <color theme="0"/>
      </left>
      <right/>
      <top style="thin">
        <color indexed="9"/>
      </top>
      <bottom style="thin">
        <color theme="0"/>
      </bottom>
      <diagonal/>
    </border>
    <border>
      <left style="thin">
        <color theme="0"/>
      </left>
      <right/>
      <top style="thin">
        <color theme="0"/>
      </top>
      <bottom style="thin">
        <color indexed="9"/>
      </bottom>
      <diagonal/>
    </border>
    <border>
      <left style="thin">
        <color theme="0" tint="-0.24994659260841701"/>
      </left>
      <right/>
      <top style="thin">
        <color indexed="9"/>
      </top>
      <bottom style="thin">
        <color theme="0"/>
      </bottom>
      <diagonal/>
    </border>
    <border>
      <left/>
      <right/>
      <top style="thin">
        <color indexed="9"/>
      </top>
      <bottom style="thin">
        <color theme="0"/>
      </bottom>
      <diagonal/>
    </border>
    <border>
      <left style="thin">
        <color theme="0"/>
      </left>
      <right style="thin">
        <color theme="0" tint="-0.24994659260841701"/>
      </right>
      <top style="thin">
        <color indexed="9"/>
      </top>
      <bottom style="thin">
        <color theme="0"/>
      </bottom>
      <diagonal/>
    </border>
    <border>
      <left/>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rgb="FFFF7D7D"/>
      </left>
      <right/>
      <top style="thin">
        <color rgb="FFFF7D7D"/>
      </top>
      <bottom/>
      <diagonal/>
    </border>
    <border>
      <left/>
      <right/>
      <top style="thin">
        <color rgb="FFFF7D7D"/>
      </top>
      <bottom/>
      <diagonal/>
    </border>
    <border>
      <left/>
      <right style="thin">
        <color rgb="FFFF7D7D"/>
      </right>
      <top style="thin">
        <color rgb="FFFF7D7D"/>
      </top>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style="thin">
        <color theme="0"/>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style="thin">
        <color theme="0"/>
      </top>
      <bottom style="thin">
        <color theme="4" tint="0.39994506668294322"/>
      </bottom>
      <diagonal/>
    </border>
    <border>
      <left style="thin">
        <color indexed="9"/>
      </left>
      <right style="thin">
        <color theme="0"/>
      </right>
      <top style="thin">
        <color theme="0"/>
      </top>
      <bottom style="thin">
        <color theme="0"/>
      </bottom>
      <diagonal/>
    </border>
    <border>
      <left/>
      <right/>
      <top style="thin">
        <color theme="0" tint="-0.14996795556505021"/>
      </top>
      <bottom style="thin">
        <color rgb="FFC4D5EA"/>
      </bottom>
      <diagonal/>
    </border>
    <border>
      <left/>
      <right/>
      <top style="thin">
        <color rgb="FFC4D5EA"/>
      </top>
      <bottom style="thin">
        <color theme="0" tint="-0.24994659260841701"/>
      </bottom>
      <diagonal/>
    </border>
    <border>
      <left style="thin">
        <color theme="0"/>
      </left>
      <right/>
      <top style="thin">
        <color theme="0"/>
      </top>
      <bottom/>
      <diagonal/>
    </border>
    <border>
      <left/>
      <right style="thin">
        <color theme="0" tint="-0.24994659260841701"/>
      </right>
      <top style="thin">
        <color theme="0"/>
      </top>
      <bottom/>
      <diagonal/>
    </border>
    <border>
      <left/>
      <right style="thin">
        <color theme="0" tint="-0.24994659260841701"/>
      </right>
      <top/>
      <bottom style="thin">
        <color theme="0" tint="-0.24994659260841701"/>
      </bottom>
      <diagonal/>
    </border>
    <border>
      <left/>
      <right style="thin">
        <color theme="4" tint="0.39994506668294322"/>
      </right>
      <top style="thin">
        <color theme="0"/>
      </top>
      <bottom/>
      <diagonal/>
    </border>
    <border>
      <left style="thin">
        <color theme="4" tint="0.39994506668294322"/>
      </left>
      <right/>
      <top style="thin">
        <color theme="4" tint="0.39991454817346722"/>
      </top>
      <bottom/>
      <diagonal/>
    </border>
    <border>
      <left/>
      <right/>
      <top style="thin">
        <color theme="4" tint="0.39991454817346722"/>
      </top>
      <bottom/>
      <diagonal/>
    </border>
    <border>
      <left/>
      <right style="thin">
        <color theme="4" tint="0.39994506668294322"/>
      </right>
      <top style="thin">
        <color theme="4" tint="0.39991454817346722"/>
      </top>
      <bottom style="thin">
        <color theme="0"/>
      </bottom>
      <diagonal/>
    </border>
    <border>
      <left style="thin">
        <color indexed="12"/>
      </left>
      <right/>
      <top/>
      <bottom style="thin">
        <color indexed="12"/>
      </bottom>
      <diagonal/>
    </border>
    <border>
      <left/>
      <right/>
      <top/>
      <bottom style="thin">
        <color indexed="12"/>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415">
    <xf numFmtId="0" fontId="0" fillId="0" borderId="0" xfId="0"/>
    <xf numFmtId="2" fontId="0" fillId="0" borderId="0" xfId="0" applyNumberFormat="1"/>
    <xf numFmtId="1" fontId="0" fillId="0" borderId="0" xfId="0" applyNumberFormat="1" applyAlignment="1">
      <alignment horizontal="center"/>
    </xf>
    <xf numFmtId="0" fontId="0" fillId="0" borderId="0" xfId="0" applyAlignment="1">
      <alignment horizontal="center"/>
    </xf>
    <xf numFmtId="0" fontId="0" fillId="3" borderId="4" xfId="0" applyFill="1" applyBorder="1"/>
    <xf numFmtId="0" fontId="3" fillId="4" borderId="0" xfId="0" applyFont="1" applyFill="1"/>
    <xf numFmtId="0" fontId="0" fillId="4" borderId="0" xfId="0" applyFill="1"/>
    <xf numFmtId="0" fontId="3" fillId="5" borderId="0" xfId="0" applyFont="1" applyFill="1"/>
    <xf numFmtId="0" fontId="0" fillId="5" borderId="0" xfId="0" applyFill="1"/>
    <xf numFmtId="0" fontId="0" fillId="6" borderId="0" xfId="0" applyFill="1"/>
    <xf numFmtId="0" fontId="3" fillId="6" borderId="0" xfId="0" applyFont="1" applyFill="1" applyAlignment="1">
      <alignment horizontal="center"/>
    </xf>
    <xf numFmtId="0" fontId="3" fillId="6" borderId="0" xfId="0" applyFont="1" applyFill="1"/>
    <xf numFmtId="0" fontId="0" fillId="6" borderId="0" xfId="0" applyFill="1" applyAlignment="1">
      <alignment horizontal="center"/>
    </xf>
    <xf numFmtId="0" fontId="0" fillId="7" borderId="0" xfId="0" applyFill="1"/>
    <xf numFmtId="0" fontId="3" fillId="7" borderId="0" xfId="0" applyFont="1" applyFill="1" applyAlignment="1">
      <alignment horizontal="center"/>
    </xf>
    <xf numFmtId="0" fontId="3" fillId="7" borderId="0" xfId="0" applyFont="1" applyFill="1" applyAlignment="1">
      <alignment horizontal="left"/>
    </xf>
    <xf numFmtId="0" fontId="0" fillId="8" borderId="0" xfId="0" applyFill="1"/>
    <xf numFmtId="0" fontId="10" fillId="8" borderId="0" xfId="0" applyFont="1" applyFill="1"/>
    <xf numFmtId="0" fontId="11" fillId="8" borderId="0" xfId="0" applyFont="1" applyFill="1" applyAlignment="1">
      <alignment vertical="center"/>
    </xf>
    <xf numFmtId="0" fontId="11" fillId="8" borderId="0" xfId="0" applyFont="1" applyFill="1"/>
    <xf numFmtId="0" fontId="4" fillId="8" borderId="0" xfId="0" applyFont="1" applyFill="1"/>
    <xf numFmtId="166" fontId="5" fillId="0" borderId="0" xfId="0" applyNumberFormat="1" applyFont="1"/>
    <xf numFmtId="0" fontId="11" fillId="0" borderId="0" xfId="0" applyFont="1"/>
    <xf numFmtId="2" fontId="3" fillId="4" borderId="0" xfId="0" applyNumberFormat="1" applyFont="1" applyFill="1" applyAlignment="1">
      <alignment horizontal="right"/>
    </xf>
    <xf numFmtId="166" fontId="5" fillId="0" borderId="9" xfId="0" applyNumberFormat="1" applyFont="1" applyBorder="1"/>
    <xf numFmtId="166" fontId="5" fillId="0" borderId="10" xfId="0" applyNumberFormat="1" applyFont="1" applyBorder="1"/>
    <xf numFmtId="0" fontId="16" fillId="2" borderId="11" xfId="0" applyFont="1" applyFill="1" applyBorder="1"/>
    <xf numFmtId="0" fontId="1" fillId="0" borderId="0" xfId="0" applyFont="1"/>
    <xf numFmtId="0" fontId="4" fillId="0" borderId="0" xfId="0" applyFont="1"/>
    <xf numFmtId="0" fontId="3" fillId="2" borderId="4" xfId="0" applyFont="1" applyFill="1" applyBorder="1" applyAlignment="1">
      <alignment horizontal="center"/>
    </xf>
    <xf numFmtId="0" fontId="0" fillId="2" borderId="4" xfId="0" applyFill="1" applyBorder="1"/>
    <xf numFmtId="0" fontId="3" fillId="2" borderId="4" xfId="0" applyFont="1" applyFill="1" applyBorder="1"/>
    <xf numFmtId="0" fontId="0" fillId="2" borderId="5" xfId="0" applyFill="1" applyBorder="1"/>
    <xf numFmtId="0" fontId="3" fillId="2" borderId="17" xfId="0" applyFont="1" applyFill="1" applyBorder="1" applyAlignment="1">
      <alignment horizontal="center"/>
    </xf>
    <xf numFmtId="0" fontId="4" fillId="0" borderId="17" xfId="0" applyFont="1" applyBorder="1" applyAlignment="1">
      <alignment horizontal="center"/>
    </xf>
    <xf numFmtId="0" fontId="0" fillId="2" borderId="18" xfId="0" applyFill="1" applyBorder="1"/>
    <xf numFmtId="0" fontId="0" fillId="2" borderId="19" xfId="0" applyFill="1" applyBorder="1"/>
    <xf numFmtId="2" fontId="16" fillId="0" borderId="22" xfId="0" applyNumberFormat="1" applyFont="1" applyBorder="1" applyProtection="1">
      <protection locked="0"/>
    </xf>
    <xf numFmtId="2" fontId="16" fillId="0" borderId="23" xfId="0" applyNumberFormat="1" applyFont="1" applyBorder="1" applyProtection="1">
      <protection locked="0"/>
    </xf>
    <xf numFmtId="2" fontId="16" fillId="0" borderId="21" xfId="0" applyNumberFormat="1" applyFont="1" applyBorder="1" applyAlignment="1" applyProtection="1">
      <alignment horizontal="right"/>
      <protection locked="0"/>
    </xf>
    <xf numFmtId="0" fontId="0" fillId="10" borderId="25" xfId="0" applyFill="1" applyBorder="1"/>
    <xf numFmtId="0" fontId="0" fillId="10" borderId="26" xfId="0" applyFill="1" applyBorder="1"/>
    <xf numFmtId="1" fontId="0" fillId="10" borderId="26" xfId="0" applyNumberFormat="1" applyFill="1" applyBorder="1" applyAlignment="1">
      <alignment horizontal="center"/>
    </xf>
    <xf numFmtId="0" fontId="0" fillId="10" borderId="26" xfId="0" applyFill="1" applyBorder="1" applyAlignment="1">
      <alignment horizontal="center"/>
    </xf>
    <xf numFmtId="0" fontId="0" fillId="3" borderId="4" xfId="0" quotePrefix="1" applyFill="1" applyBorder="1"/>
    <xf numFmtId="2" fontId="0" fillId="3" borderId="4" xfId="0" applyNumberFormat="1" applyFill="1" applyBorder="1" applyAlignment="1">
      <alignment horizontal="right"/>
    </xf>
    <xf numFmtId="2" fontId="3" fillId="11" borderId="27" xfId="0" applyNumberFormat="1" applyFont="1" applyFill="1" applyBorder="1" applyAlignment="1">
      <alignment horizontal="center"/>
    </xf>
    <xf numFmtId="2" fontId="3" fillId="11" borderId="28" xfId="0" applyNumberFormat="1" applyFont="1" applyFill="1" applyBorder="1" applyAlignment="1">
      <alignment horizontal="center"/>
    </xf>
    <xf numFmtId="2" fontId="3" fillId="2" borderId="29" xfId="0" applyNumberFormat="1" applyFont="1" applyFill="1" applyBorder="1" applyAlignment="1">
      <alignment horizontal="center"/>
    </xf>
    <xf numFmtId="2" fontId="3" fillId="2" borderId="30" xfId="0" applyNumberFormat="1" applyFont="1" applyFill="1" applyBorder="1" applyAlignment="1">
      <alignment horizontal="center"/>
    </xf>
    <xf numFmtId="2" fontId="3" fillId="2" borderId="31" xfId="0" applyNumberFormat="1" applyFont="1" applyFill="1" applyBorder="1" applyAlignment="1">
      <alignment horizontal="center"/>
    </xf>
    <xf numFmtId="2" fontId="3" fillId="2" borderId="5" xfId="0" applyNumberFormat="1" applyFont="1" applyFill="1" applyBorder="1" applyAlignment="1">
      <alignment horizontal="center"/>
    </xf>
    <xf numFmtId="2" fontId="0" fillId="3" borderId="32" xfId="0" applyNumberFormat="1" applyFill="1" applyBorder="1"/>
    <xf numFmtId="2" fontId="3" fillId="2" borderId="0" xfId="0" applyNumberFormat="1" applyFont="1" applyFill="1" applyAlignment="1">
      <alignment horizontal="center"/>
    </xf>
    <xf numFmtId="2" fontId="3" fillId="0" borderId="0" xfId="0" applyNumberFormat="1" applyFont="1" applyAlignment="1">
      <alignment horizontal="center"/>
    </xf>
    <xf numFmtId="2" fontId="5" fillId="0" borderId="0" xfId="0" applyNumberFormat="1" applyFont="1"/>
    <xf numFmtId="2" fontId="0" fillId="2" borderId="0" xfId="0" applyNumberFormat="1" applyFill="1"/>
    <xf numFmtId="2" fontId="7" fillId="12" borderId="0" xfId="0" applyNumberFormat="1" applyFont="1" applyFill="1" applyAlignment="1">
      <alignment horizontal="center"/>
    </xf>
    <xf numFmtId="2" fontId="3" fillId="12" borderId="0" xfId="0" applyNumberFormat="1" applyFont="1" applyFill="1" applyAlignment="1">
      <alignment horizontal="center"/>
    </xf>
    <xf numFmtId="2" fontId="0" fillId="3" borderId="4" xfId="0" applyNumberFormat="1" applyFill="1" applyBorder="1"/>
    <xf numFmtId="14" fontId="5" fillId="2" borderId="0" xfId="0" applyNumberFormat="1" applyFont="1" applyFill="1"/>
    <xf numFmtId="1" fontId="0" fillId="10" borderId="33" xfId="0" applyNumberFormat="1" applyFill="1" applyBorder="1" applyAlignment="1">
      <alignment horizontal="center"/>
    </xf>
    <xf numFmtId="0" fontId="0" fillId="10" borderId="33" xfId="0" applyFill="1" applyBorder="1" applyAlignment="1">
      <alignment horizontal="center"/>
    </xf>
    <xf numFmtId="1" fontId="0" fillId="3" borderId="14" xfId="0" applyNumberFormat="1" applyFill="1" applyBorder="1" applyAlignment="1">
      <alignment horizontal="center"/>
    </xf>
    <xf numFmtId="0" fontId="0" fillId="3" borderId="14" xfId="0" applyFill="1" applyBorder="1" applyAlignment="1">
      <alignment horizontal="center"/>
    </xf>
    <xf numFmtId="2" fontId="0" fillId="3" borderId="34" xfId="0" applyNumberFormat="1" applyFill="1" applyBorder="1" applyAlignment="1">
      <alignment horizontal="right"/>
    </xf>
    <xf numFmtId="0" fontId="0" fillId="2" borderId="14" xfId="0" applyFill="1" applyBorder="1"/>
    <xf numFmtId="0" fontId="4" fillId="10" borderId="26" xfId="0" applyFont="1" applyFill="1" applyBorder="1" applyAlignment="1">
      <alignment horizontal="center"/>
    </xf>
    <xf numFmtId="1" fontId="0" fillId="12" borderId="0" xfId="0" applyNumberFormat="1" applyFill="1"/>
    <xf numFmtId="0" fontId="3" fillId="13" borderId="0" xfId="0" applyFont="1" applyFill="1"/>
    <xf numFmtId="0" fontId="0" fillId="13" borderId="0" xfId="0" applyFill="1"/>
    <xf numFmtId="0" fontId="3" fillId="14" borderId="0" xfId="0" applyFont="1" applyFill="1"/>
    <xf numFmtId="0" fontId="1" fillId="14" borderId="0" xfId="0" applyFont="1" applyFill="1"/>
    <xf numFmtId="0" fontId="10" fillId="0" borderId="0" xfId="0" applyFont="1"/>
    <xf numFmtId="0" fontId="1" fillId="8" borderId="0" xfId="0" applyFont="1" applyFill="1"/>
    <xf numFmtId="0" fontId="1" fillId="0" borderId="0" xfId="0" applyFont="1" applyAlignment="1">
      <alignment horizontal="center"/>
    </xf>
    <xf numFmtId="2" fontId="0" fillId="0" borderId="0" xfId="0" applyNumberFormat="1" applyAlignment="1">
      <alignment horizontal="right"/>
    </xf>
    <xf numFmtId="0" fontId="3" fillId="0" borderId="0" xfId="0" applyFont="1"/>
    <xf numFmtId="0" fontId="14" fillId="2" borderId="43" xfId="0" applyFont="1" applyFill="1" applyBorder="1" applyAlignment="1">
      <alignment horizontal="center"/>
    </xf>
    <xf numFmtId="0" fontId="2" fillId="0" borderId="43" xfId="0" applyFont="1" applyBorder="1"/>
    <xf numFmtId="0" fontId="2" fillId="0" borderId="43" xfId="0" quotePrefix="1" applyFont="1" applyBorder="1"/>
    <xf numFmtId="0" fontId="28" fillId="0" borderId="43" xfId="0" applyFont="1" applyBorder="1"/>
    <xf numFmtId="0" fontId="2" fillId="0" borderId="43" xfId="0" applyFont="1" applyBorder="1" applyAlignment="1">
      <alignment wrapText="1"/>
    </xf>
    <xf numFmtId="0" fontId="14" fillId="2" borderId="43" xfId="0" applyFont="1" applyFill="1" applyBorder="1" applyAlignment="1">
      <alignment horizontal="right"/>
    </xf>
    <xf numFmtId="0" fontId="1" fillId="0" borderId="0" xfId="0" applyFont="1" applyProtection="1">
      <protection locked="0"/>
    </xf>
    <xf numFmtId="0" fontId="0" fillId="2" borderId="30" xfId="0" applyFill="1" applyBorder="1"/>
    <xf numFmtId="0" fontId="3" fillId="3" borderId="16" xfId="0" applyFont="1" applyFill="1" applyBorder="1" applyAlignment="1">
      <alignment horizontal="center" vertical="center"/>
    </xf>
    <xf numFmtId="166" fontId="13" fillId="9" borderId="16" xfId="0" applyNumberFormat="1" applyFont="1" applyFill="1" applyBorder="1" applyAlignment="1" applyProtection="1">
      <alignment horizontal="center" vertical="center"/>
      <protection locked="0"/>
    </xf>
    <xf numFmtId="166" fontId="13" fillId="9" borderId="16" xfId="0" applyNumberFormat="1" applyFont="1" applyFill="1" applyBorder="1" applyAlignment="1" applyProtection="1">
      <alignment vertical="center"/>
      <protection locked="0"/>
    </xf>
    <xf numFmtId="2" fontId="0" fillId="0" borderId="0" xfId="0" applyNumberFormat="1" applyAlignment="1">
      <alignment vertical="center"/>
    </xf>
    <xf numFmtId="0" fontId="0" fillId="0" borderId="0" xfId="0" applyAlignment="1">
      <alignment vertical="center"/>
    </xf>
    <xf numFmtId="0" fontId="0" fillId="0" borderId="44" xfId="0" applyBorder="1"/>
    <xf numFmtId="0" fontId="0" fillId="0" borderId="45" xfId="0" applyBorder="1"/>
    <xf numFmtId="0" fontId="0" fillId="0" borderId="45" xfId="0" applyBorder="1" applyAlignment="1">
      <alignment horizontal="center"/>
    </xf>
    <xf numFmtId="0" fontId="0" fillId="0" borderId="46" xfId="0" applyBorder="1" applyAlignment="1">
      <alignment horizontal="center"/>
    </xf>
    <xf numFmtId="0" fontId="4" fillId="0" borderId="47" xfId="0" applyFont="1" applyBorder="1"/>
    <xf numFmtId="0" fontId="0" fillId="0" borderId="0" xfId="0" applyAlignment="1">
      <alignment horizontal="left"/>
    </xf>
    <xf numFmtId="0" fontId="1" fillId="10" borderId="26" xfId="0" applyFont="1" applyFill="1" applyBorder="1" applyAlignment="1">
      <alignment horizontal="center"/>
    </xf>
    <xf numFmtId="0" fontId="0" fillId="2" borderId="48" xfId="0" applyFill="1" applyBorder="1"/>
    <xf numFmtId="0" fontId="0" fillId="2" borderId="49" xfId="0" applyFill="1" applyBorder="1"/>
    <xf numFmtId="0" fontId="0" fillId="2" borderId="29" xfId="0" applyFill="1" applyBorder="1"/>
    <xf numFmtId="0" fontId="0" fillId="2" borderId="24" xfId="0" applyFill="1" applyBorder="1"/>
    <xf numFmtId="0" fontId="0" fillId="2" borderId="0" xfId="0" applyFill="1"/>
    <xf numFmtId="0" fontId="0" fillId="2" borderId="32" xfId="0" applyFill="1" applyBorder="1"/>
    <xf numFmtId="0" fontId="3" fillId="2" borderId="0" xfId="0" applyFont="1" applyFill="1"/>
    <xf numFmtId="0" fontId="0" fillId="3" borderId="30" xfId="0" applyFill="1" applyBorder="1"/>
    <xf numFmtId="0" fontId="3" fillId="0" borderId="0" xfId="0" applyFont="1" applyAlignment="1">
      <alignment horizontal="center"/>
    </xf>
    <xf numFmtId="169" fontId="0" fillId="3" borderId="30" xfId="0" applyNumberFormat="1" applyFill="1" applyBorder="1"/>
    <xf numFmtId="169" fontId="0" fillId="3" borderId="4" xfId="0" applyNumberFormat="1" applyFill="1" applyBorder="1"/>
    <xf numFmtId="169" fontId="0" fillId="3" borderId="5" xfId="0" applyNumberFormat="1" applyFill="1" applyBorder="1"/>
    <xf numFmtId="1" fontId="3" fillId="5" borderId="0" xfId="0" applyNumberFormat="1" applyFont="1" applyFill="1" applyAlignment="1">
      <alignment horizontal="right"/>
    </xf>
    <xf numFmtId="1" fontId="0" fillId="5" borderId="0" xfId="0" applyNumberFormat="1" applyFill="1" applyAlignment="1">
      <alignment horizontal="right"/>
    </xf>
    <xf numFmtId="1" fontId="0" fillId="4" borderId="0" xfId="0" applyNumberFormat="1" applyFill="1" applyAlignment="1">
      <alignment horizontal="right"/>
    </xf>
    <xf numFmtId="0" fontId="0" fillId="6" borderId="0" xfId="0" applyFill="1" applyAlignment="1">
      <alignment horizontal="left"/>
    </xf>
    <xf numFmtId="2" fontId="6" fillId="0" borderId="0" xfId="0" applyNumberFormat="1" applyFont="1" applyAlignment="1">
      <alignment horizontal="center"/>
    </xf>
    <xf numFmtId="167" fontId="6" fillId="0" borderId="0" xfId="0" applyNumberFormat="1" applyFont="1" applyAlignment="1">
      <alignment horizontal="center"/>
    </xf>
    <xf numFmtId="168" fontId="6" fillId="0" borderId="0" xfId="0" applyNumberFormat="1" applyFont="1" applyAlignment="1">
      <alignment horizontal="center"/>
    </xf>
    <xf numFmtId="169" fontId="5" fillId="0" borderId="0" xfId="0" applyNumberFormat="1" applyFont="1" applyAlignment="1">
      <alignment horizontal="center"/>
    </xf>
    <xf numFmtId="2" fontId="29" fillId="9" borderId="6" xfId="0" applyNumberFormat="1" applyFont="1" applyFill="1" applyBorder="1" applyProtection="1">
      <protection locked="0"/>
    </xf>
    <xf numFmtId="2" fontId="29" fillId="9" borderId="34" xfId="0" applyNumberFormat="1" applyFont="1" applyFill="1" applyBorder="1" applyProtection="1">
      <protection locked="0"/>
    </xf>
    <xf numFmtId="2" fontId="29" fillId="9" borderId="15" xfId="0" applyNumberFormat="1" applyFont="1" applyFill="1" applyBorder="1" applyProtection="1">
      <protection locked="0"/>
    </xf>
    <xf numFmtId="0" fontId="1" fillId="4" borderId="0" xfId="0" applyFont="1" applyFill="1"/>
    <xf numFmtId="0" fontId="5" fillId="8" borderId="0" xfId="0" applyFont="1" applyFill="1"/>
    <xf numFmtId="0" fontId="30" fillId="14" borderId="0" xfId="0" applyFont="1" applyFill="1" applyAlignment="1">
      <alignment horizontal="center"/>
    </xf>
    <xf numFmtId="2" fontId="0" fillId="6" borderId="0" xfId="0" applyNumberFormat="1" applyFill="1" applyAlignment="1">
      <alignment horizontal="center"/>
    </xf>
    <xf numFmtId="0" fontId="10" fillId="0" borderId="0" xfId="0" applyFont="1" applyAlignment="1">
      <alignment horizontal="center"/>
    </xf>
    <xf numFmtId="0" fontId="29" fillId="0" borderId="0" xfId="0" applyFont="1" applyAlignment="1">
      <alignment horizontal="center"/>
    </xf>
    <xf numFmtId="169" fontId="10" fillId="0" borderId="0" xfId="0" applyNumberFormat="1" applyFont="1" applyAlignment="1">
      <alignment horizontal="center"/>
    </xf>
    <xf numFmtId="0" fontId="33" fillId="0" borderId="0" xfId="0" applyFont="1"/>
    <xf numFmtId="170" fontId="1" fillId="14" borderId="0" xfId="0" applyNumberFormat="1" applyFont="1" applyFill="1"/>
    <xf numFmtId="0" fontId="5" fillId="15" borderId="35" xfId="0" applyFont="1" applyFill="1" applyBorder="1"/>
    <xf numFmtId="0" fontId="5" fillId="15" borderId="8" xfId="0" applyFont="1" applyFill="1" applyBorder="1"/>
    <xf numFmtId="0" fontId="5" fillId="15" borderId="13" xfId="0" applyFont="1" applyFill="1" applyBorder="1"/>
    <xf numFmtId="0" fontId="0" fillId="17" borderId="0" xfId="0" applyFill="1"/>
    <xf numFmtId="0" fontId="10" fillId="17" borderId="0" xfId="0" applyFont="1" applyFill="1"/>
    <xf numFmtId="0" fontId="8" fillId="17" borderId="0" xfId="0" applyFont="1" applyFill="1" applyAlignment="1">
      <alignment horizontal="left" vertical="center" shrinkToFit="1"/>
    </xf>
    <xf numFmtId="0" fontId="3" fillId="17" borderId="0" xfId="0" applyFont="1" applyFill="1" applyAlignment="1">
      <alignment horizontal="left" vertical="center" shrinkToFit="1"/>
    </xf>
    <xf numFmtId="166" fontId="16" fillId="0" borderId="56" xfId="0" applyNumberFormat="1" applyFont="1" applyBorder="1" applyAlignment="1" applyProtection="1">
      <alignment horizontal="right"/>
      <protection locked="0"/>
    </xf>
    <xf numFmtId="166" fontId="16" fillId="0" borderId="57" xfId="0" applyNumberFormat="1" applyFont="1" applyBorder="1" applyAlignment="1" applyProtection="1">
      <alignment horizontal="right"/>
      <protection locked="0"/>
    </xf>
    <xf numFmtId="166" fontId="16" fillId="0" borderId="58" xfId="0" applyNumberFormat="1" applyFont="1" applyBorder="1" applyAlignment="1" applyProtection="1">
      <alignment horizontal="right"/>
      <protection locked="0"/>
    </xf>
    <xf numFmtId="0" fontId="5" fillId="2" borderId="59" xfId="0" applyFont="1" applyFill="1" applyBorder="1" applyAlignment="1">
      <alignment horizontal="right"/>
    </xf>
    <xf numFmtId="166" fontId="16" fillId="0" borderId="60" xfId="0" applyNumberFormat="1" applyFont="1" applyBorder="1" applyAlignment="1" applyProtection="1">
      <alignment horizontal="right"/>
      <protection locked="0"/>
    </xf>
    <xf numFmtId="166" fontId="5" fillId="2" borderId="59" xfId="0" applyNumberFormat="1" applyFont="1" applyFill="1" applyBorder="1" applyAlignment="1">
      <alignment horizontal="right"/>
    </xf>
    <xf numFmtId="166" fontId="15" fillId="2" borderId="19" xfId="0" applyNumberFormat="1" applyFont="1" applyFill="1" applyBorder="1" applyAlignment="1">
      <alignment horizontal="right"/>
    </xf>
    <xf numFmtId="2" fontId="5" fillId="15" borderId="0" xfId="0" applyNumberFormat="1" applyFont="1" applyFill="1" applyAlignment="1">
      <alignment horizontal="center"/>
    </xf>
    <xf numFmtId="2" fontId="5" fillId="15" borderId="54" xfId="0" applyNumberFormat="1" applyFont="1" applyFill="1" applyBorder="1" applyAlignment="1">
      <alignment horizontal="center"/>
    </xf>
    <xf numFmtId="2" fontId="5" fillId="15" borderId="61" xfId="0" applyNumberFormat="1" applyFont="1" applyFill="1" applyBorder="1"/>
    <xf numFmtId="2" fontId="5" fillId="15" borderId="62" xfId="0" applyNumberFormat="1" applyFont="1" applyFill="1" applyBorder="1" applyAlignment="1">
      <alignment horizontal="center"/>
    </xf>
    <xf numFmtId="2" fontId="5" fillId="15" borderId="62" xfId="0" applyNumberFormat="1" applyFont="1" applyFill="1" applyBorder="1"/>
    <xf numFmtId="2" fontId="5" fillId="15" borderId="63" xfId="0" applyNumberFormat="1" applyFont="1" applyFill="1" applyBorder="1"/>
    <xf numFmtId="0" fontId="5" fillId="15" borderId="0" xfId="0" applyFont="1" applyFill="1" applyAlignment="1">
      <alignment horizontal="right"/>
    </xf>
    <xf numFmtId="0" fontId="5" fillId="15" borderId="0" xfId="0" applyFont="1" applyFill="1"/>
    <xf numFmtId="0" fontId="5" fillId="15" borderId="0" xfId="0" applyFont="1" applyFill="1" applyAlignment="1">
      <alignment horizontal="center"/>
    </xf>
    <xf numFmtId="0" fontId="7" fillId="15" borderId="0" xfId="0" applyFont="1" applyFill="1" applyAlignment="1">
      <alignment horizontal="right"/>
    </xf>
    <xf numFmtId="3" fontId="7" fillId="15" borderId="0" xfId="0" applyNumberFormat="1" applyFont="1" applyFill="1"/>
    <xf numFmtId="2" fontId="7" fillId="15" borderId="0" xfId="0" applyNumberFormat="1" applyFont="1" applyFill="1" applyAlignment="1">
      <alignment horizontal="center"/>
    </xf>
    <xf numFmtId="0" fontId="14" fillId="0" borderId="0" xfId="0" applyFont="1" applyAlignment="1">
      <alignment vertical="center"/>
    </xf>
    <xf numFmtId="0" fontId="11" fillId="0" borderId="0" xfId="0" applyFont="1" applyAlignment="1">
      <alignment vertical="top" shrinkToFit="1"/>
    </xf>
    <xf numFmtId="0" fontId="7" fillId="15" borderId="0" xfId="0" applyFont="1" applyFill="1" applyAlignment="1">
      <alignment horizontal="center"/>
    </xf>
    <xf numFmtId="1" fontId="1" fillId="20" borderId="53" xfId="0" applyNumberFormat="1" applyFont="1" applyFill="1" applyBorder="1" applyAlignment="1" applyProtection="1">
      <alignment horizontal="center" vertical="center"/>
      <protection locked="0"/>
    </xf>
    <xf numFmtId="0" fontId="0" fillId="20" borderId="53" xfId="0" applyFill="1" applyBorder="1" applyAlignment="1" applyProtection="1">
      <alignment horizontal="center" vertical="center"/>
      <protection locked="0"/>
    </xf>
    <xf numFmtId="1" fontId="5" fillId="15" borderId="36" xfId="0" applyNumberFormat="1" applyFont="1" applyFill="1" applyBorder="1"/>
    <xf numFmtId="2" fontId="5" fillId="15" borderId="51" xfId="0" applyNumberFormat="1" applyFont="1" applyFill="1" applyBorder="1"/>
    <xf numFmtId="0" fontId="0" fillId="17" borderId="0" xfId="0" applyFill="1" applyAlignment="1">
      <alignment vertical="center"/>
    </xf>
    <xf numFmtId="0" fontId="7" fillId="17" borderId="61" xfId="0" applyFont="1" applyFill="1" applyBorder="1" applyAlignment="1">
      <alignment horizontal="center" vertical="center"/>
    </xf>
    <xf numFmtId="0" fontId="6" fillId="24" borderId="7" xfId="0" applyFont="1" applyFill="1" applyBorder="1" applyAlignment="1">
      <alignment horizontal="center" vertical="center" wrapText="1"/>
    </xf>
    <xf numFmtId="0" fontId="6" fillId="24" borderId="3" xfId="0" applyFont="1" applyFill="1" applyBorder="1" applyAlignment="1">
      <alignment horizontal="center" vertical="center" wrapText="1"/>
    </xf>
    <xf numFmtId="2" fontId="5" fillId="24" borderId="1" xfId="0" applyNumberFormat="1" applyFont="1" applyFill="1" applyBorder="1"/>
    <xf numFmtId="0" fontId="0" fillId="24" borderId="1" xfId="0" applyFill="1" applyBorder="1"/>
    <xf numFmtId="0" fontId="3" fillId="15" borderId="0" xfId="0" applyFont="1" applyFill="1" applyAlignment="1">
      <alignment vertical="center"/>
    </xf>
    <xf numFmtId="0" fontId="4" fillId="15" borderId="0" xfId="0" applyFont="1" applyFill="1" applyAlignment="1">
      <alignment vertical="center"/>
    </xf>
    <xf numFmtId="0" fontId="3" fillId="15" borderId="0" xfId="0" applyFont="1" applyFill="1" applyAlignment="1">
      <alignment horizontal="center" vertical="center"/>
    </xf>
    <xf numFmtId="0" fontId="6" fillId="24" borderId="61" xfId="0" applyFont="1" applyFill="1" applyBorder="1" applyAlignment="1">
      <alignment horizontal="center" wrapText="1"/>
    </xf>
    <xf numFmtId="0" fontId="6" fillId="24" borderId="66" xfId="0" applyFont="1" applyFill="1" applyBorder="1" applyAlignment="1">
      <alignment horizontal="center" vertical="center" wrapText="1"/>
    </xf>
    <xf numFmtId="0" fontId="7" fillId="15" borderId="0" xfId="0" applyFont="1" applyFill="1"/>
    <xf numFmtId="0" fontId="8" fillId="17" borderId="68" xfId="0" applyFont="1" applyFill="1" applyBorder="1" applyAlignment="1">
      <alignment vertical="center"/>
    </xf>
    <xf numFmtId="0" fontId="8" fillId="17" borderId="68" xfId="0" applyFont="1" applyFill="1" applyBorder="1" applyAlignment="1">
      <alignment vertical="center" shrinkToFit="1"/>
    </xf>
    <xf numFmtId="1" fontId="1" fillId="20" borderId="69" xfId="0" applyNumberFormat="1" applyFont="1" applyFill="1" applyBorder="1" applyAlignment="1" applyProtection="1">
      <alignment horizontal="center" vertical="center"/>
      <protection locked="0"/>
    </xf>
    <xf numFmtId="0" fontId="0" fillId="0" borderId="42" xfId="0" applyBorder="1"/>
    <xf numFmtId="0" fontId="8" fillId="17" borderId="77" xfId="0" applyFont="1" applyFill="1" applyBorder="1" applyAlignment="1">
      <alignment vertical="center"/>
    </xf>
    <xf numFmtId="0" fontId="8" fillId="17" borderId="79" xfId="0" applyFont="1" applyFill="1" applyBorder="1" applyAlignment="1">
      <alignment vertical="center"/>
    </xf>
    <xf numFmtId="0" fontId="8" fillId="17" borderId="79" xfId="0" applyFont="1" applyFill="1" applyBorder="1" applyAlignment="1">
      <alignment horizontal="left" vertical="center"/>
    </xf>
    <xf numFmtId="0" fontId="8" fillId="17" borderId="80" xfId="0" applyFont="1" applyFill="1" applyBorder="1" applyAlignment="1">
      <alignment vertical="center"/>
    </xf>
    <xf numFmtId="0" fontId="6" fillId="24" borderId="87" xfId="0" applyFont="1" applyFill="1" applyBorder="1" applyAlignment="1">
      <alignment horizontal="center" wrapText="1"/>
    </xf>
    <xf numFmtId="0" fontId="6" fillId="24" borderId="88" xfId="0" applyFont="1" applyFill="1" applyBorder="1" applyAlignment="1">
      <alignment vertical="center"/>
    </xf>
    <xf numFmtId="0" fontId="5" fillId="24" borderId="89" xfId="0" applyFont="1" applyFill="1" applyBorder="1" applyAlignment="1">
      <alignment wrapText="1"/>
    </xf>
    <xf numFmtId="0" fontId="6" fillId="24" borderId="91" xfId="0" applyFont="1" applyFill="1" applyBorder="1" applyAlignment="1">
      <alignment horizontal="center" vertical="center" wrapText="1"/>
    </xf>
    <xf numFmtId="0" fontId="5" fillId="15" borderId="92" xfId="0" applyFont="1" applyFill="1" applyBorder="1"/>
    <xf numFmtId="2" fontId="5" fillId="15" borderId="93" xfId="0" applyNumberFormat="1" applyFont="1" applyFill="1" applyBorder="1"/>
    <xf numFmtId="0" fontId="5" fillId="15" borderId="90" xfId="0" applyFont="1" applyFill="1" applyBorder="1"/>
    <xf numFmtId="0" fontId="5" fillId="15" borderId="94" xfId="0" applyFont="1" applyFill="1" applyBorder="1"/>
    <xf numFmtId="0" fontId="0" fillId="24" borderId="96" xfId="0" applyFill="1" applyBorder="1"/>
    <xf numFmtId="0" fontId="5" fillId="15" borderId="95" xfId="0" applyFont="1" applyFill="1" applyBorder="1"/>
    <xf numFmtId="2" fontId="5" fillId="15" borderId="97" xfId="0" applyNumberFormat="1" applyFont="1" applyFill="1" applyBorder="1"/>
    <xf numFmtId="0" fontId="5" fillId="0" borderId="99" xfId="0" applyFont="1" applyBorder="1"/>
    <xf numFmtId="2" fontId="5" fillId="15" borderId="98" xfId="0" applyNumberFormat="1" applyFont="1" applyFill="1" applyBorder="1"/>
    <xf numFmtId="0" fontId="0" fillId="0" borderId="90" xfId="0" applyBorder="1"/>
    <xf numFmtId="4" fontId="6" fillId="15" borderId="98" xfId="0" applyNumberFormat="1" applyFont="1" applyFill="1" applyBorder="1"/>
    <xf numFmtId="4" fontId="7" fillId="15" borderId="98" xfId="0" applyNumberFormat="1" applyFont="1" applyFill="1" applyBorder="1"/>
    <xf numFmtId="0" fontId="14" fillId="0" borderId="90" xfId="0" applyFont="1" applyBorder="1" applyAlignment="1">
      <alignment vertical="center"/>
    </xf>
    <xf numFmtId="2" fontId="11" fillId="0" borderId="90" xfId="0" applyNumberFormat="1" applyFont="1" applyBorder="1" applyAlignment="1">
      <alignment vertical="top" shrinkToFit="1"/>
    </xf>
    <xf numFmtId="0" fontId="6" fillId="24" borderId="103" xfId="0" applyFont="1" applyFill="1" applyBorder="1" applyAlignment="1">
      <alignment horizontal="center" vertical="center" wrapText="1"/>
    </xf>
    <xf numFmtId="0" fontId="7" fillId="15" borderId="90" xfId="0" applyFont="1" applyFill="1" applyBorder="1"/>
    <xf numFmtId="0" fontId="7" fillId="15" borderId="104" xfId="0" applyFont="1" applyFill="1" applyBorder="1"/>
    <xf numFmtId="0" fontId="7" fillId="15" borderId="74" xfId="0" applyFont="1" applyFill="1" applyBorder="1"/>
    <xf numFmtId="0" fontId="7" fillId="15" borderId="74" xfId="0" applyFont="1" applyFill="1" applyBorder="1" applyAlignment="1">
      <alignment horizontal="right"/>
    </xf>
    <xf numFmtId="3" fontId="7" fillId="15" borderId="74" xfId="0" applyNumberFormat="1" applyFont="1" applyFill="1" applyBorder="1"/>
    <xf numFmtId="2" fontId="7" fillId="15" borderId="74" xfId="0" applyNumberFormat="1" applyFont="1" applyFill="1" applyBorder="1" applyAlignment="1">
      <alignment horizontal="center"/>
    </xf>
    <xf numFmtId="0" fontId="11" fillId="15" borderId="74" xfId="0" applyFont="1" applyFill="1" applyBorder="1" applyAlignment="1">
      <alignment horizontal="center"/>
    </xf>
    <xf numFmtId="0" fontId="7" fillId="17" borderId="90" xfId="0" applyFont="1" applyFill="1" applyBorder="1" applyAlignment="1">
      <alignment vertical="center"/>
    </xf>
    <xf numFmtId="0" fontId="7" fillId="17" borderId="93" xfId="0" applyFont="1" applyFill="1" applyBorder="1" applyAlignment="1">
      <alignment horizontal="center" vertical="center"/>
    </xf>
    <xf numFmtId="2" fontId="5" fillId="23" borderId="35" xfId="0" applyNumberFormat="1" applyFont="1" applyFill="1" applyBorder="1"/>
    <xf numFmtId="164" fontId="7" fillId="28" borderId="66" xfId="0" applyNumberFormat="1" applyFont="1" applyFill="1" applyBorder="1" applyProtection="1">
      <protection locked="0"/>
    </xf>
    <xf numFmtId="0" fontId="6" fillId="24" borderId="61" xfId="0" applyFont="1" applyFill="1" applyBorder="1" applyAlignment="1">
      <alignment horizontal="center" vertical="top" wrapText="1"/>
    </xf>
    <xf numFmtId="2" fontId="5" fillId="16" borderId="108" xfId="0" applyNumberFormat="1" applyFont="1" applyFill="1" applyBorder="1" applyProtection="1">
      <protection locked="0"/>
    </xf>
    <xf numFmtId="2" fontId="5" fillId="28" borderId="70" xfId="0" applyNumberFormat="1" applyFont="1" applyFill="1" applyBorder="1"/>
    <xf numFmtId="2" fontId="5" fillId="28" borderId="71" xfId="0" applyNumberFormat="1" applyFont="1" applyFill="1" applyBorder="1"/>
    <xf numFmtId="2" fontId="5" fillId="28" borderId="72" xfId="0" applyNumberFormat="1" applyFont="1" applyFill="1" applyBorder="1"/>
    <xf numFmtId="2" fontId="5" fillId="28" borderId="2" xfId="0" applyNumberFormat="1" applyFont="1" applyFill="1" applyBorder="1"/>
    <xf numFmtId="2" fontId="5" fillId="28" borderId="35" xfId="0" applyNumberFormat="1" applyFont="1" applyFill="1" applyBorder="1"/>
    <xf numFmtId="2" fontId="5" fillId="28" borderId="36" xfId="0" applyNumberFormat="1" applyFont="1" applyFill="1" applyBorder="1"/>
    <xf numFmtId="2" fontId="11" fillId="28" borderId="36" xfId="0" applyNumberFormat="1" applyFont="1" applyFill="1" applyBorder="1" applyProtection="1">
      <protection locked="0"/>
    </xf>
    <xf numFmtId="2" fontId="5" fillId="15" borderId="13" xfId="0" applyNumberFormat="1" applyFont="1" applyFill="1" applyBorder="1"/>
    <xf numFmtId="0" fontId="11" fillId="17" borderId="94" xfId="0" applyFont="1" applyFill="1" applyBorder="1"/>
    <xf numFmtId="0" fontId="11" fillId="17" borderId="40" xfId="0" applyFont="1" applyFill="1" applyBorder="1"/>
    <xf numFmtId="0" fontId="11" fillId="17" borderId="95" xfId="0" applyFont="1" applyFill="1" applyBorder="1"/>
    <xf numFmtId="0" fontId="11" fillId="17" borderId="35" xfId="0" applyFont="1" applyFill="1" applyBorder="1"/>
    <xf numFmtId="0" fontId="11" fillId="17" borderId="92" xfId="0" applyFont="1" applyFill="1" applyBorder="1"/>
    <xf numFmtId="0" fontId="11" fillId="17" borderId="8" xfId="0" applyFont="1" applyFill="1" applyBorder="1"/>
    <xf numFmtId="0" fontId="11" fillId="17" borderId="107" xfId="0" applyFont="1" applyFill="1" applyBorder="1"/>
    <xf numFmtId="0" fontId="11" fillId="17" borderId="41" xfId="0" applyFont="1" applyFill="1" applyBorder="1"/>
    <xf numFmtId="0" fontId="11" fillId="19" borderId="61" xfId="0" applyFont="1" applyFill="1" applyBorder="1" applyAlignment="1">
      <alignment horizontal="center"/>
    </xf>
    <xf numFmtId="1" fontId="11" fillId="19" borderId="61" xfId="0" applyNumberFormat="1" applyFont="1" applyFill="1" applyBorder="1" applyAlignment="1">
      <alignment horizontal="center"/>
    </xf>
    <xf numFmtId="2" fontId="11" fillId="19" borderId="61" xfId="0" applyNumberFormat="1" applyFont="1" applyFill="1" applyBorder="1"/>
    <xf numFmtId="4" fontId="11" fillId="19" borderId="93" xfId="0" applyNumberFormat="1" applyFont="1" applyFill="1" applyBorder="1" applyAlignment="1">
      <alignment horizontal="right"/>
    </xf>
    <xf numFmtId="2" fontId="5" fillId="15" borderId="109" xfId="0" applyNumberFormat="1" applyFont="1" applyFill="1" applyBorder="1"/>
    <xf numFmtId="2" fontId="5" fillId="15" borderId="73" xfId="0" applyNumberFormat="1" applyFont="1" applyFill="1" applyBorder="1"/>
    <xf numFmtId="0" fontId="5" fillId="15" borderId="40" xfId="0" applyFont="1" applyFill="1" applyBorder="1"/>
    <xf numFmtId="2" fontId="11" fillId="28" borderId="111" xfId="0" applyNumberFormat="1" applyFont="1" applyFill="1" applyBorder="1" applyProtection="1">
      <protection locked="0"/>
    </xf>
    <xf numFmtId="2" fontId="11" fillId="28" borderId="52" xfId="0" applyNumberFormat="1" applyFont="1" applyFill="1" applyBorder="1" applyProtection="1">
      <protection locked="0"/>
    </xf>
    <xf numFmtId="2" fontId="11" fillId="28" borderId="112" xfId="0" applyNumberFormat="1" applyFont="1" applyFill="1" applyBorder="1" applyProtection="1">
      <protection locked="0"/>
    </xf>
    <xf numFmtId="0" fontId="5" fillId="15" borderId="113" xfId="0" applyFont="1" applyFill="1" applyBorder="1"/>
    <xf numFmtId="0" fontId="5" fillId="15" borderId="114" xfId="0" applyFont="1" applyFill="1" applyBorder="1"/>
    <xf numFmtId="2" fontId="5" fillId="15" borderId="110" xfId="0" applyNumberFormat="1" applyFont="1" applyFill="1" applyBorder="1"/>
    <xf numFmtId="2" fontId="5" fillId="15" borderId="108" xfId="0" applyNumberFormat="1" applyFont="1" applyFill="1" applyBorder="1" applyAlignment="1">
      <alignment horizontal="center"/>
    </xf>
    <xf numFmtId="2" fontId="5" fillId="15" borderId="108" xfId="0" applyNumberFormat="1" applyFont="1" applyFill="1" applyBorder="1"/>
    <xf numFmtId="2" fontId="5" fillId="15" borderId="115" xfId="0" applyNumberFormat="1" applyFont="1" applyFill="1" applyBorder="1"/>
    <xf numFmtId="0" fontId="8" fillId="29" borderId="37" xfId="0" applyFont="1" applyFill="1" applyBorder="1" applyAlignment="1">
      <alignment horizontal="center" vertical="center" wrapText="1"/>
    </xf>
    <xf numFmtId="0" fontId="6" fillId="29" borderId="12" xfId="0" applyFont="1" applyFill="1" applyBorder="1" applyAlignment="1">
      <alignment horizontal="center" vertical="center" wrapText="1"/>
    </xf>
    <xf numFmtId="0" fontId="3" fillId="29" borderId="20" xfId="0" applyFont="1" applyFill="1" applyBorder="1" applyAlignment="1">
      <alignment horizontal="center" vertical="top"/>
    </xf>
    <xf numFmtId="0" fontId="19" fillId="29" borderId="12" xfId="0" applyFont="1" applyFill="1" applyBorder="1" applyAlignment="1">
      <alignment horizontal="center" vertical="center" wrapText="1"/>
    </xf>
    <xf numFmtId="0" fontId="19" fillId="29" borderId="12" xfId="0" applyFont="1" applyFill="1" applyBorder="1"/>
    <xf numFmtId="0" fontId="19" fillId="29" borderId="20" xfId="0" applyFont="1" applyFill="1" applyBorder="1"/>
    <xf numFmtId="0" fontId="7" fillId="29" borderId="37" xfId="0" applyFont="1" applyFill="1" applyBorder="1" applyAlignment="1">
      <alignment horizontal="center" vertical="center" wrapText="1"/>
    </xf>
    <xf numFmtId="4" fontId="6" fillId="27" borderId="98" xfId="0" applyNumberFormat="1" applyFont="1" applyFill="1" applyBorder="1" applyAlignment="1">
      <alignment vertical="center"/>
    </xf>
    <xf numFmtId="0" fontId="12" fillId="31" borderId="116" xfId="0" applyFont="1" applyFill="1" applyBorder="1" applyAlignment="1">
      <alignment vertical="center"/>
    </xf>
    <xf numFmtId="0" fontId="12" fillId="31" borderId="117" xfId="0" applyFont="1" applyFill="1" applyBorder="1" applyAlignment="1">
      <alignment vertical="center"/>
    </xf>
    <xf numFmtId="0" fontId="12" fillId="31" borderId="118" xfId="0" applyFont="1" applyFill="1" applyBorder="1" applyAlignment="1">
      <alignment vertical="center"/>
    </xf>
    <xf numFmtId="0" fontId="34" fillId="27" borderId="119" xfId="0" applyFont="1" applyFill="1" applyBorder="1" applyAlignment="1">
      <alignment vertical="center"/>
    </xf>
    <xf numFmtId="0" fontId="34" fillId="27" borderId="120" xfId="0" applyFont="1" applyFill="1" applyBorder="1" applyAlignment="1">
      <alignment vertical="center"/>
    </xf>
    <xf numFmtId="0" fontId="35" fillId="27" borderId="120" xfId="0" applyFont="1" applyFill="1" applyBorder="1" applyAlignment="1">
      <alignment vertical="center"/>
    </xf>
    <xf numFmtId="0" fontId="35" fillId="27" borderId="121" xfId="0" applyFont="1" applyFill="1" applyBorder="1" applyAlignment="1">
      <alignment vertical="center"/>
    </xf>
    <xf numFmtId="0" fontId="36" fillId="17" borderId="0" xfId="0" applyFont="1" applyFill="1" applyAlignment="1">
      <alignment vertical="center"/>
    </xf>
    <xf numFmtId="0" fontId="36" fillId="17" borderId="123" xfId="0" applyFont="1" applyFill="1" applyBorder="1" applyAlignment="1">
      <alignment vertical="center"/>
    </xf>
    <xf numFmtId="0" fontId="25" fillId="19" borderId="124" xfId="0" applyFont="1" applyFill="1" applyBorder="1" applyAlignment="1" applyProtection="1">
      <alignment horizontal="center" vertical="center"/>
      <protection locked="0"/>
    </xf>
    <xf numFmtId="0" fontId="36" fillId="17" borderId="127" xfId="0" applyFont="1" applyFill="1" applyBorder="1" applyAlignment="1">
      <alignment vertical="center"/>
    </xf>
    <xf numFmtId="166" fontId="25" fillId="19" borderId="128" xfId="0" applyNumberFormat="1" applyFont="1" applyFill="1" applyBorder="1" applyAlignment="1" applyProtection="1">
      <alignment horizontal="center" vertical="center"/>
      <protection locked="0"/>
    </xf>
    <xf numFmtId="0" fontId="3" fillId="32" borderId="79" xfId="0" applyFont="1" applyFill="1" applyBorder="1" applyAlignment="1">
      <alignment horizontal="left"/>
    </xf>
    <xf numFmtId="0" fontId="3" fillId="21" borderId="79" xfId="0" applyFont="1" applyFill="1" applyBorder="1" applyAlignment="1">
      <alignment horizontal="left" vertical="top"/>
    </xf>
    <xf numFmtId="0" fontId="25" fillId="21" borderId="126" xfId="0" applyFont="1" applyFill="1" applyBorder="1" applyAlignment="1">
      <alignment horizontal="left" vertical="top" shrinkToFit="1"/>
    </xf>
    <xf numFmtId="0" fontId="5" fillId="15" borderId="0" xfId="0" applyFont="1" applyFill="1" applyAlignment="1">
      <alignment vertical="center"/>
    </xf>
    <xf numFmtId="166" fontId="25" fillId="18" borderId="0" xfId="0" applyNumberFormat="1" applyFont="1" applyFill="1" applyAlignment="1" applyProtection="1">
      <alignment horizontal="center" vertical="center"/>
      <protection locked="0"/>
    </xf>
    <xf numFmtId="0" fontId="36" fillId="15" borderId="55" xfId="0" applyFont="1" applyFill="1" applyBorder="1" applyAlignment="1">
      <alignment vertical="center"/>
    </xf>
    <xf numFmtId="2" fontId="16" fillId="30" borderId="12" xfId="0" applyNumberFormat="1" applyFont="1" applyFill="1" applyBorder="1" applyProtection="1">
      <protection locked="0"/>
    </xf>
    <xf numFmtId="0" fontId="5" fillId="26" borderId="0" xfId="0" applyFont="1" applyFill="1" applyAlignment="1">
      <alignment vertical="center"/>
    </xf>
    <xf numFmtId="0" fontId="5" fillId="26" borderId="79" xfId="0" applyFont="1" applyFill="1" applyBorder="1" applyAlignment="1">
      <alignment vertical="center"/>
    </xf>
    <xf numFmtId="0" fontId="5" fillId="26" borderId="82" xfId="0" applyFont="1" applyFill="1" applyBorder="1" applyAlignment="1">
      <alignment vertical="center"/>
    </xf>
    <xf numFmtId="0" fontId="3" fillId="29" borderId="38" xfId="0" applyFont="1" applyFill="1" applyBorder="1" applyAlignment="1">
      <alignment horizontal="center" vertical="top"/>
    </xf>
    <xf numFmtId="166" fontId="16" fillId="0" borderId="22" xfId="0" applyNumberFormat="1" applyFont="1" applyBorder="1" applyProtection="1">
      <protection locked="0"/>
    </xf>
    <xf numFmtId="166" fontId="16" fillId="0" borderId="23" xfId="0" applyNumberFormat="1" applyFont="1" applyBorder="1" applyProtection="1">
      <protection locked="0"/>
    </xf>
    <xf numFmtId="166" fontId="16" fillId="30" borderId="12" xfId="0" applyNumberFormat="1" applyFont="1" applyFill="1" applyBorder="1" applyProtection="1">
      <protection locked="0"/>
    </xf>
    <xf numFmtId="0" fontId="11" fillId="33" borderId="64" xfId="0" applyFont="1" applyFill="1" applyBorder="1" applyAlignment="1">
      <alignment horizontal="center"/>
    </xf>
    <xf numFmtId="1" fontId="11" fillId="33" borderId="64" xfId="0" applyNumberFormat="1" applyFont="1" applyFill="1" applyBorder="1" applyAlignment="1">
      <alignment horizontal="center"/>
    </xf>
    <xf numFmtId="4" fontId="11" fillId="33" borderId="64" xfId="0" applyNumberFormat="1" applyFont="1" applyFill="1" applyBorder="1"/>
    <xf numFmtId="4" fontId="11" fillId="33" borderId="101" xfId="0" applyNumberFormat="1" applyFont="1" applyFill="1" applyBorder="1" applyAlignment="1">
      <alignment horizontal="right"/>
    </xf>
    <xf numFmtId="0" fontId="11" fillId="33" borderId="66" xfId="0" applyFont="1" applyFill="1" applyBorder="1" applyAlignment="1">
      <alignment horizontal="center"/>
    </xf>
    <xf numFmtId="1" fontId="11" fillId="33" borderId="66" xfId="0" applyNumberFormat="1" applyFont="1" applyFill="1" applyBorder="1" applyAlignment="1">
      <alignment horizontal="center"/>
    </xf>
    <xf numFmtId="4" fontId="11" fillId="33" borderId="66" xfId="0" applyNumberFormat="1" applyFont="1" applyFill="1" applyBorder="1"/>
    <xf numFmtId="4" fontId="11" fillId="33" borderId="103" xfId="0" applyNumberFormat="1" applyFont="1" applyFill="1" applyBorder="1" applyAlignment="1">
      <alignment horizontal="right"/>
    </xf>
    <xf numFmtId="2" fontId="11" fillId="33" borderId="66" xfId="0" applyNumberFormat="1" applyFont="1" applyFill="1" applyBorder="1" applyAlignment="1">
      <alignment horizontal="center"/>
    </xf>
    <xf numFmtId="2" fontId="11" fillId="33" borderId="66" xfId="0" applyNumberFormat="1" applyFont="1" applyFill="1" applyBorder="1"/>
    <xf numFmtId="0" fontId="11" fillId="33" borderId="76" xfId="0" applyFont="1" applyFill="1" applyBorder="1" applyAlignment="1">
      <alignment horizontal="center"/>
    </xf>
    <xf numFmtId="1" fontId="11" fillId="33" borderId="76" xfId="0" applyNumberFormat="1" applyFont="1" applyFill="1" applyBorder="1" applyAlignment="1">
      <alignment horizontal="center"/>
    </xf>
    <xf numFmtId="2" fontId="11" fillId="33" borderId="76" xfId="0" applyNumberFormat="1" applyFont="1" applyFill="1" applyBorder="1"/>
    <xf numFmtId="4" fontId="11" fillId="33" borderId="106" xfId="0" applyNumberFormat="1" applyFont="1" applyFill="1" applyBorder="1" applyAlignment="1">
      <alignment horizontal="right"/>
    </xf>
    <xf numFmtId="0" fontId="11" fillId="33" borderId="0" xfId="0" applyFont="1" applyFill="1"/>
    <xf numFmtId="2" fontId="5" fillId="15" borderId="51" xfId="0" applyNumberFormat="1" applyFont="1" applyFill="1" applyBorder="1" applyAlignment="1">
      <alignment horizontal="center"/>
    </xf>
    <xf numFmtId="2" fontId="5" fillId="15" borderId="129" xfId="0" applyNumberFormat="1" applyFont="1" applyFill="1" applyBorder="1" applyAlignment="1">
      <alignment horizontal="center"/>
    </xf>
    <xf numFmtId="2" fontId="5" fillId="15" borderId="66" xfId="0" applyNumberFormat="1" applyFont="1" applyFill="1" applyBorder="1"/>
    <xf numFmtId="2" fontId="5" fillId="15" borderId="103" xfId="0" applyNumberFormat="1" applyFont="1" applyFill="1" applyBorder="1"/>
    <xf numFmtId="164" fontId="5" fillId="15" borderId="2" xfId="0" applyNumberFormat="1" applyFont="1" applyFill="1" applyBorder="1" applyAlignment="1">
      <alignment horizontal="right"/>
    </xf>
    <xf numFmtId="0" fontId="0" fillId="15" borderId="109" xfId="0" applyFill="1" applyBorder="1" applyAlignment="1">
      <alignment horizontal="center"/>
    </xf>
    <xf numFmtId="0" fontId="11" fillId="33" borderId="53" xfId="0" applyFont="1" applyFill="1" applyBorder="1"/>
    <xf numFmtId="0" fontId="0" fillId="33" borderId="53" xfId="0" applyFill="1" applyBorder="1"/>
    <xf numFmtId="0" fontId="0" fillId="33" borderId="65" xfId="0" applyFill="1" applyBorder="1"/>
    <xf numFmtId="0" fontId="11" fillId="33" borderId="41" xfId="0" applyFont="1" applyFill="1" applyBorder="1"/>
    <xf numFmtId="0" fontId="0" fillId="33" borderId="41" xfId="0" applyFill="1" applyBorder="1"/>
    <xf numFmtId="0" fontId="0" fillId="33" borderId="50" xfId="0" applyFill="1" applyBorder="1"/>
    <xf numFmtId="2" fontId="11" fillId="33" borderId="53" xfId="0" applyNumberFormat="1" applyFont="1" applyFill="1" applyBorder="1"/>
    <xf numFmtId="0" fontId="11" fillId="33" borderId="42" xfId="0" applyFont="1" applyFill="1" applyBorder="1"/>
    <xf numFmtId="0" fontId="0" fillId="33" borderId="42" xfId="0" applyFill="1" applyBorder="1"/>
    <xf numFmtId="0" fontId="0" fillId="33" borderId="75" xfId="0" applyFill="1" applyBorder="1"/>
    <xf numFmtId="0" fontId="11" fillId="33" borderId="54" xfId="0" applyFont="1" applyFill="1" applyBorder="1"/>
    <xf numFmtId="0" fontId="0" fillId="0" borderId="130" xfId="0" applyBorder="1"/>
    <xf numFmtId="0" fontId="5" fillId="25" borderId="131" xfId="0" applyFont="1" applyFill="1" applyBorder="1" applyAlignment="1">
      <alignment horizontal="center" vertical="center"/>
    </xf>
    <xf numFmtId="0" fontId="5" fillId="34" borderId="99" xfId="0" applyFont="1" applyFill="1" applyBorder="1" applyAlignment="1">
      <alignment vertical="center"/>
    </xf>
    <xf numFmtId="0" fontId="5" fillId="34" borderId="42" xfId="0" applyFont="1" applyFill="1" applyBorder="1"/>
    <xf numFmtId="0" fontId="7" fillId="27" borderId="132" xfId="0" applyFont="1" applyFill="1" applyBorder="1" applyAlignment="1">
      <alignment horizontal="left" vertical="center"/>
    </xf>
    <xf numFmtId="0" fontId="6" fillId="27" borderId="42" xfId="0" applyFont="1" applyFill="1" applyBorder="1" applyAlignment="1">
      <alignment horizontal="right" vertical="center"/>
    </xf>
    <xf numFmtId="0" fontId="7" fillId="27" borderId="42" xfId="0" applyFont="1" applyFill="1" applyBorder="1" applyAlignment="1">
      <alignment horizontal="center" vertical="center"/>
    </xf>
    <xf numFmtId="4" fontId="6" fillId="27" borderId="133" xfId="0" applyNumberFormat="1" applyFont="1" applyFill="1" applyBorder="1" applyAlignment="1">
      <alignment vertical="center"/>
    </xf>
    <xf numFmtId="0" fontId="6" fillId="0" borderId="130" xfId="0" applyFont="1" applyBorder="1"/>
    <xf numFmtId="2" fontId="25" fillId="19" borderId="135" xfId="0" applyNumberFormat="1" applyFont="1" applyFill="1" applyBorder="1" applyAlignment="1" applyProtection="1">
      <alignment horizontal="center" vertical="center"/>
      <protection locked="0"/>
    </xf>
    <xf numFmtId="0" fontId="25" fillId="32" borderId="136" xfId="0" applyFont="1" applyFill="1" applyBorder="1" applyAlignment="1">
      <alignment horizontal="left"/>
    </xf>
    <xf numFmtId="0" fontId="36" fillId="17" borderId="137" xfId="0" applyFont="1" applyFill="1" applyBorder="1" applyAlignment="1">
      <alignment vertical="center"/>
    </xf>
    <xf numFmtId="166" fontId="25" fillId="19" borderId="138" xfId="0" applyNumberFormat="1" applyFont="1" applyFill="1" applyBorder="1" applyAlignment="1" applyProtection="1">
      <alignment horizontal="center" vertical="center"/>
      <protection locked="0"/>
    </xf>
    <xf numFmtId="0" fontId="2" fillId="0" borderId="142" xfId="0" applyFont="1" applyBorder="1"/>
    <xf numFmtId="0" fontId="2" fillId="0" borderId="141" xfId="0" applyFont="1" applyBorder="1" applyAlignment="1">
      <alignment vertical="top" wrapText="1"/>
    </xf>
    <xf numFmtId="0" fontId="2" fillId="0" borderId="141" xfId="0" applyFont="1" applyBorder="1" applyAlignment="1">
      <alignment horizontal="left" vertical="top" wrapText="1"/>
    </xf>
    <xf numFmtId="0" fontId="2" fillId="0" borderId="141" xfId="0" applyFont="1" applyBorder="1" applyAlignment="1">
      <alignment wrapText="1"/>
    </xf>
    <xf numFmtId="0" fontId="20" fillId="29" borderId="37" xfId="0" applyFont="1" applyFill="1" applyBorder="1" applyAlignment="1">
      <alignment horizontal="center" vertical="center" wrapText="1"/>
    </xf>
    <xf numFmtId="0" fontId="20" fillId="29" borderId="12" xfId="0" applyFont="1" applyFill="1" applyBorder="1" applyAlignment="1">
      <alignment horizontal="center" vertical="center" wrapText="1"/>
    </xf>
    <xf numFmtId="0" fontId="7" fillId="29" borderId="37" xfId="0" applyFont="1" applyFill="1" applyBorder="1" applyAlignment="1">
      <alignment horizontal="center" vertical="center" wrapText="1"/>
    </xf>
    <xf numFmtId="0" fontId="0" fillId="29" borderId="38" xfId="0" applyFill="1" applyBorder="1" applyAlignment="1">
      <alignment horizontal="center"/>
    </xf>
    <xf numFmtId="0" fontId="6" fillId="24" borderId="85" xfId="0" applyFont="1" applyFill="1" applyBorder="1" applyAlignment="1">
      <alignment vertical="center"/>
    </xf>
    <xf numFmtId="0" fontId="0" fillId="24" borderId="86" xfId="0" applyFill="1" applyBorder="1"/>
    <xf numFmtId="0" fontId="0" fillId="24" borderId="90" xfId="0" applyFill="1" applyBorder="1"/>
    <xf numFmtId="0" fontId="0" fillId="24" borderId="0" xfId="0" applyFill="1"/>
    <xf numFmtId="0" fontId="6" fillId="24" borderId="87" xfId="0" applyFont="1" applyFill="1" applyBorder="1" applyAlignment="1">
      <alignment horizontal="center" vertical="center" wrapText="1"/>
    </xf>
    <xf numFmtId="0" fontId="0" fillId="24" borderId="39" xfId="0" applyFill="1" applyBorder="1" applyAlignment="1">
      <alignment horizontal="center" vertical="center" wrapText="1"/>
    </xf>
    <xf numFmtId="0" fontId="6" fillId="24" borderId="64" xfId="0" applyFont="1" applyFill="1" applyBorder="1" applyAlignment="1">
      <alignment horizontal="center" vertical="center" wrapText="1"/>
    </xf>
    <xf numFmtId="0" fontId="5" fillId="24" borderId="101" xfId="0" applyFont="1" applyFill="1" applyBorder="1" applyAlignment="1">
      <alignment horizontal="center" wrapText="1"/>
    </xf>
    <xf numFmtId="0" fontId="7" fillId="24" borderId="100" xfId="0" applyFont="1" applyFill="1" applyBorder="1" applyAlignment="1">
      <alignment vertical="center"/>
    </xf>
    <xf numFmtId="0" fontId="0" fillId="24" borderId="64" xfId="0" applyFill="1" applyBorder="1" applyAlignment="1">
      <alignment vertical="center"/>
    </xf>
    <xf numFmtId="0" fontId="0" fillId="24" borderId="102" xfId="0" applyFill="1" applyBorder="1" applyAlignment="1">
      <alignment vertical="center"/>
    </xf>
    <xf numFmtId="0" fontId="0" fillId="24" borderId="66" xfId="0" applyFill="1" applyBorder="1" applyAlignment="1">
      <alignment vertical="center"/>
    </xf>
    <xf numFmtId="0" fontId="0" fillId="24" borderId="66" xfId="0" applyFill="1" applyBorder="1" applyAlignment="1">
      <alignment horizontal="center" vertical="center" wrapText="1"/>
    </xf>
    <xf numFmtId="0" fontId="5" fillId="28" borderId="35" xfId="0" applyFont="1" applyFill="1" applyBorder="1" applyAlignment="1" applyProtection="1">
      <alignment horizontal="left"/>
      <protection locked="0"/>
    </xf>
    <xf numFmtId="0" fontId="5" fillId="28" borderId="109" xfId="0" applyFont="1" applyFill="1" applyBorder="1" applyAlignment="1" applyProtection="1">
      <alignment horizontal="left"/>
      <protection locked="0"/>
    </xf>
    <xf numFmtId="0" fontId="7" fillId="22" borderId="0" xfId="0" applyFont="1" applyFill="1" applyAlignment="1">
      <alignment horizontal="right"/>
    </xf>
    <xf numFmtId="0" fontId="0" fillId="22" borderId="0" xfId="0" applyFill="1"/>
    <xf numFmtId="0" fontId="0" fillId="22" borderId="98" xfId="0" applyFill="1" applyBorder="1"/>
    <xf numFmtId="0" fontId="5" fillId="22" borderId="0" xfId="0" applyFont="1" applyFill="1" applyAlignment="1">
      <alignment horizontal="right"/>
    </xf>
    <xf numFmtId="0" fontId="5" fillId="22" borderId="0" xfId="0" applyFont="1" applyFill="1"/>
    <xf numFmtId="0" fontId="5" fillId="22" borderId="98" xfId="0" applyFont="1" applyFill="1" applyBorder="1"/>
    <xf numFmtId="0" fontId="6" fillId="24" borderId="95" xfId="0" applyFont="1" applyFill="1" applyBorder="1" applyAlignment="1">
      <alignment vertical="center"/>
    </xf>
    <xf numFmtId="0" fontId="0" fillId="24" borderId="35" xfId="0" applyFill="1" applyBorder="1"/>
    <xf numFmtId="0" fontId="0" fillId="24" borderId="8" xfId="0" applyFill="1" applyBorder="1"/>
    <xf numFmtId="0" fontId="0" fillId="24" borderId="13" xfId="0" applyFill="1" applyBorder="1"/>
    <xf numFmtId="0" fontId="5" fillId="23" borderId="35" xfId="0" applyFont="1" applyFill="1" applyBorder="1" applyAlignment="1" applyProtection="1">
      <alignment horizontal="left"/>
      <protection locked="0"/>
    </xf>
    <xf numFmtId="4" fontId="11" fillId="33" borderId="66" xfId="0" applyNumberFormat="1" applyFont="1" applyFill="1" applyBorder="1" applyAlignment="1">
      <alignment horizontal="center"/>
    </xf>
    <xf numFmtId="0" fontId="0" fillId="33" borderId="66" xfId="0" applyFill="1" applyBorder="1" applyAlignment="1">
      <alignment horizontal="center"/>
    </xf>
    <xf numFmtId="0" fontId="11" fillId="23" borderId="90" xfId="0" applyFont="1" applyFill="1" applyBorder="1" applyAlignment="1">
      <alignment horizontal="right"/>
    </xf>
    <xf numFmtId="0" fontId="11" fillId="23" borderId="0" xfId="0" applyFont="1" applyFill="1"/>
    <xf numFmtId="0" fontId="11" fillId="23" borderId="98" xfId="0" applyFont="1" applyFill="1" applyBorder="1"/>
    <xf numFmtId="0" fontId="5" fillId="0" borderId="74" xfId="0" applyFont="1" applyBorder="1"/>
    <xf numFmtId="0" fontId="0" fillId="0" borderId="74" xfId="0" applyBorder="1"/>
    <xf numFmtId="0" fontId="5" fillId="20" borderId="78" xfId="0" applyFont="1" applyFill="1" applyBorder="1" applyAlignment="1">
      <alignment horizontal="center" vertical="center"/>
    </xf>
    <xf numFmtId="0" fontId="5" fillId="20" borderId="67" xfId="0" applyFont="1" applyFill="1" applyBorder="1" applyAlignment="1">
      <alignment horizontal="center" vertical="center"/>
    </xf>
    <xf numFmtId="0" fontId="5" fillId="20" borderId="81" xfId="0" applyFont="1" applyFill="1" applyBorder="1" applyAlignment="1">
      <alignment horizontal="center" vertical="center"/>
    </xf>
    <xf numFmtId="0" fontId="3" fillId="19" borderId="0" xfId="0" applyFont="1" applyFill="1" applyAlignment="1" applyProtection="1">
      <alignment vertical="center"/>
      <protection locked="0"/>
    </xf>
    <xf numFmtId="2" fontId="25" fillId="19" borderId="137" xfId="0" applyNumberFormat="1" applyFont="1" applyFill="1" applyBorder="1" applyAlignment="1" applyProtection="1">
      <alignment horizontal="left" vertical="center"/>
      <protection locked="0"/>
    </xf>
    <xf numFmtId="0" fontId="9" fillId="26" borderId="85" xfId="0" applyFont="1" applyFill="1" applyBorder="1" applyAlignment="1">
      <alignment horizontal="center" vertical="center" wrapText="1"/>
    </xf>
    <xf numFmtId="0" fontId="9" fillId="26" borderId="86" xfId="0" applyFont="1" applyFill="1" applyBorder="1" applyAlignment="1">
      <alignment horizontal="center" vertical="center"/>
    </xf>
    <xf numFmtId="0" fontId="9" fillId="26" borderId="105" xfId="0" applyFont="1" applyFill="1" applyBorder="1" applyAlignment="1">
      <alignment horizontal="center" vertical="center"/>
    </xf>
    <xf numFmtId="0" fontId="0" fillId="23" borderId="90" xfId="0" applyFill="1" applyBorder="1"/>
    <xf numFmtId="0" fontId="0" fillId="23" borderId="0" xfId="0" applyFill="1"/>
    <xf numFmtId="0" fontId="0" fillId="23" borderId="98" xfId="0" applyFill="1" applyBorder="1"/>
    <xf numFmtId="0" fontId="4" fillId="26" borderId="90" xfId="0" applyFont="1" applyFill="1" applyBorder="1" applyAlignment="1">
      <alignment horizontal="center" vertical="center" wrapText="1"/>
    </xf>
    <xf numFmtId="0" fontId="4" fillId="26" borderId="0" xfId="0" applyFont="1" applyFill="1" applyAlignment="1">
      <alignment horizontal="center" vertical="center"/>
    </xf>
    <xf numFmtId="0" fontId="4" fillId="26" borderId="98" xfId="0" applyFont="1" applyFill="1" applyBorder="1" applyAlignment="1">
      <alignment horizontal="center" vertical="center"/>
    </xf>
    <xf numFmtId="0" fontId="5" fillId="23" borderId="90" xfId="0" applyFont="1" applyFill="1" applyBorder="1"/>
    <xf numFmtId="2" fontId="25" fillId="19" borderId="127" xfId="0" applyNumberFormat="1" applyFont="1" applyFill="1" applyBorder="1" applyAlignment="1" applyProtection="1">
      <alignment horizontal="left" vertical="center"/>
      <protection locked="0"/>
    </xf>
    <xf numFmtId="0" fontId="37" fillId="20" borderId="104" xfId="0" applyFont="1" applyFill="1" applyBorder="1" applyAlignment="1">
      <alignment horizontal="left" vertical="center" wrapText="1"/>
    </xf>
    <xf numFmtId="0" fontId="37" fillId="20" borderId="74" xfId="0" applyFont="1" applyFill="1" applyBorder="1" applyAlignment="1">
      <alignment horizontal="left" vertical="center" wrapText="1"/>
    </xf>
    <xf numFmtId="0" fontId="37" fillId="20" borderId="134" xfId="0" applyFont="1" applyFill="1" applyBorder="1" applyAlignment="1">
      <alignment horizontal="left" vertical="center" wrapText="1"/>
    </xf>
    <xf numFmtId="0" fontId="25" fillId="35" borderId="122" xfId="0" applyFont="1" applyFill="1" applyBorder="1" applyAlignment="1">
      <alignment horizontal="center" vertical="center"/>
    </xf>
    <xf numFmtId="0" fontId="25" fillId="35" borderId="123" xfId="0" applyFont="1" applyFill="1" applyBorder="1"/>
    <xf numFmtId="0" fontId="25" fillId="35" borderId="125" xfId="0" applyFont="1" applyFill="1" applyBorder="1"/>
    <xf numFmtId="0" fontId="25" fillId="35" borderId="0" xfId="0" applyFont="1" applyFill="1"/>
    <xf numFmtId="0" fontId="5" fillId="19" borderId="53" xfId="0" applyFont="1" applyFill="1" applyBorder="1" applyAlignment="1" applyProtection="1">
      <alignment horizontal="left" vertical="center" shrinkToFit="1"/>
      <protection locked="0"/>
    </xf>
    <xf numFmtId="0" fontId="0" fillId="19" borderId="53" xfId="0" applyFill="1" applyBorder="1" applyAlignment="1" applyProtection="1">
      <alignment horizontal="left" vertical="center" shrinkToFit="1"/>
      <protection locked="0"/>
    </xf>
    <xf numFmtId="0" fontId="0" fillId="19" borderId="84" xfId="0" applyFill="1" applyBorder="1" applyAlignment="1" applyProtection="1">
      <alignment horizontal="left" vertical="center" shrinkToFit="1"/>
      <protection locked="0"/>
    </xf>
    <xf numFmtId="0" fontId="5" fillId="23" borderId="40" xfId="0" applyFont="1" applyFill="1" applyBorder="1" applyAlignment="1" applyProtection="1">
      <alignment horizontal="left"/>
      <protection locked="0"/>
    </xf>
    <xf numFmtId="0" fontId="5" fillId="23" borderId="114" xfId="0" applyFont="1" applyFill="1" applyBorder="1" applyAlignment="1" applyProtection="1">
      <alignment horizontal="left"/>
      <protection locked="0"/>
    </xf>
    <xf numFmtId="0" fontId="5" fillId="23" borderId="0" xfId="0" applyFont="1" applyFill="1"/>
    <xf numFmtId="0" fontId="5" fillId="23" borderId="98" xfId="0" applyFont="1" applyFill="1" applyBorder="1"/>
    <xf numFmtId="0" fontId="0" fillId="0" borderId="42" xfId="0" applyBorder="1"/>
    <xf numFmtId="0" fontId="0" fillId="0" borderId="0" xfId="0"/>
    <xf numFmtId="2" fontId="5" fillId="23" borderId="35" xfId="0" applyNumberFormat="1" applyFont="1" applyFill="1" applyBorder="1" applyAlignment="1" applyProtection="1">
      <alignment horizontal="left"/>
      <protection locked="0"/>
    </xf>
    <xf numFmtId="165" fontId="3" fillId="19" borderId="0" xfId="0" applyNumberFormat="1" applyFont="1" applyFill="1" applyAlignment="1" applyProtection="1">
      <alignment horizontal="center" vertical="center"/>
      <protection locked="0"/>
    </xf>
    <xf numFmtId="0" fontId="0" fillId="19" borderId="82" xfId="0" applyFill="1" applyBorder="1" applyProtection="1">
      <protection locked="0"/>
    </xf>
    <xf numFmtId="0" fontId="0" fillId="28" borderId="35" xfId="0" applyFill="1" applyBorder="1" applyProtection="1">
      <protection locked="0"/>
    </xf>
    <xf numFmtId="0" fontId="0" fillId="28" borderId="109" xfId="0" applyFill="1" applyBorder="1" applyProtection="1">
      <protection locked="0"/>
    </xf>
    <xf numFmtId="0" fontId="5" fillId="19" borderId="69" xfId="0" applyFont="1" applyFill="1" applyBorder="1" applyAlignment="1" applyProtection="1">
      <alignment vertical="center"/>
      <protection locked="0"/>
    </xf>
    <xf numFmtId="0" fontId="5" fillId="19" borderId="83" xfId="0" applyFont="1" applyFill="1" applyBorder="1" applyAlignment="1" applyProtection="1">
      <alignment vertical="center"/>
      <protection locked="0"/>
    </xf>
    <xf numFmtId="0" fontId="3" fillId="19" borderId="68" xfId="0" applyFont="1" applyFill="1" applyBorder="1" applyAlignment="1" applyProtection="1">
      <alignment vertical="center"/>
      <protection locked="0"/>
    </xf>
    <xf numFmtId="0" fontId="3" fillId="11" borderId="27" xfId="0" applyFont="1" applyFill="1" applyBorder="1" applyAlignment="1">
      <alignment horizontal="center" vertical="center"/>
    </xf>
    <xf numFmtId="0" fontId="0" fillId="0" borderId="28" xfId="0" applyBorder="1" applyAlignment="1">
      <alignment horizontal="center" vertical="center"/>
    </xf>
    <xf numFmtId="0" fontId="0" fillId="11" borderId="28" xfId="0" applyFill="1" applyBorder="1" applyAlignment="1">
      <alignment horizontal="center" vertical="center"/>
    </xf>
    <xf numFmtId="1" fontId="3" fillId="11" borderId="27" xfId="0"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2" borderId="139" xfId="0" applyFill="1" applyBorder="1" applyAlignment="1">
      <alignment horizontal="center"/>
    </xf>
    <xf numFmtId="0" fontId="0" fillId="2" borderId="140" xfId="0" applyFill="1" applyBorder="1" applyAlignment="1">
      <alignment horizontal="center"/>
    </xf>
    <xf numFmtId="0" fontId="0" fillId="2" borderId="31" xfId="0" applyFill="1" applyBorder="1" applyAlignment="1">
      <alignment horizontal="center"/>
    </xf>
  </cellXfs>
  <cellStyles count="1">
    <cellStyle name="Normalny" xfId="0" builtinId="0"/>
  </cellStyles>
  <dxfs count="34">
    <dxf>
      <font>
        <color theme="0" tint="-0.24994659260841701"/>
      </font>
      <fill>
        <patternFill>
          <bgColor theme="0" tint="-0.24994659260841701"/>
        </patternFill>
      </fill>
    </dxf>
    <dxf>
      <font>
        <condense val="0"/>
        <extend val="0"/>
        <color indexed="23"/>
      </font>
    </dxf>
    <dxf>
      <font>
        <condense val="0"/>
        <extend val="0"/>
        <color indexed="22"/>
      </font>
      <fill>
        <patternFill>
          <bgColor indexed="22"/>
        </patternFill>
      </fill>
      <border>
        <top style="thin">
          <color indexed="9"/>
        </top>
        <bottom style="thin">
          <color indexed="55"/>
        </bottom>
      </border>
    </dxf>
    <dxf>
      <font>
        <condense val="0"/>
        <extend val="0"/>
        <color indexed="55"/>
      </font>
      <fill>
        <patternFill>
          <bgColor indexed="22"/>
        </patternFill>
      </fill>
      <border>
        <top style="thin">
          <color indexed="55"/>
        </top>
        <bottom style="thin">
          <color indexed="9"/>
        </bottom>
      </border>
    </dxf>
    <dxf>
      <font>
        <condense val="0"/>
        <extend val="0"/>
        <color indexed="55"/>
      </font>
      <fill>
        <patternFill>
          <bgColor indexed="22"/>
        </patternFill>
      </fill>
      <border>
        <top style="thin">
          <color indexed="55"/>
        </top>
        <bottom style="thin">
          <color indexed="9"/>
        </bottom>
      </border>
    </dxf>
    <dxf>
      <font>
        <condense val="0"/>
        <extend val="0"/>
        <color indexed="55"/>
      </font>
      <fill>
        <patternFill>
          <bgColor indexed="22"/>
        </patternFill>
      </fill>
      <border>
        <top style="thin">
          <color indexed="55"/>
        </top>
        <bottom style="thin">
          <color indexed="9"/>
        </bottom>
      </border>
    </dxf>
    <dxf>
      <font>
        <condense val="0"/>
        <extend val="0"/>
        <color auto="1"/>
      </font>
    </dxf>
    <dxf>
      <font>
        <color theme="4" tint="0.79998168889431442"/>
      </font>
    </dxf>
    <dxf>
      <font>
        <condense val="0"/>
        <extend val="0"/>
        <color indexed="22"/>
      </font>
    </dxf>
    <dxf>
      <font>
        <condense val="0"/>
        <extend val="0"/>
        <color indexed="22"/>
      </font>
      <border>
        <left style="thin">
          <color theme="0"/>
        </left>
        <right style="thin">
          <color theme="0"/>
        </right>
        <top style="thin">
          <color theme="0"/>
        </top>
        <bottom style="thin">
          <color theme="0"/>
        </bottom>
      </border>
    </dxf>
    <dxf>
      <font>
        <condense val="0"/>
        <extend val="0"/>
        <color indexed="22"/>
      </font>
    </dxf>
    <dxf>
      <font>
        <condense val="0"/>
        <extend val="0"/>
        <color indexed="22"/>
      </font>
      <fill>
        <gradientFill degree="90">
          <stop position="0">
            <color theme="0"/>
          </stop>
          <stop position="1">
            <color theme="0" tint="-0.25098422193060094"/>
          </stop>
        </gradientFill>
      </fill>
    </dxf>
    <dxf>
      <font>
        <condense val="0"/>
        <extend val="0"/>
        <color indexed="22"/>
      </font>
      <fill>
        <gradientFill degree="90">
          <stop position="0">
            <color theme="0"/>
          </stop>
          <stop position="1">
            <color theme="0" tint="-0.25098422193060094"/>
          </stop>
        </gradientFill>
      </fill>
      <border>
        <left style="thin">
          <color theme="0"/>
        </left>
        <right style="thin">
          <color theme="0"/>
        </right>
        <top/>
        <bottom/>
      </border>
    </dxf>
    <dxf>
      <font>
        <condense val="0"/>
        <extend val="0"/>
        <color indexed="22"/>
      </font>
      <fill>
        <gradientFill degree="90">
          <stop position="0">
            <color theme="0"/>
          </stop>
          <stop position="1">
            <color theme="0" tint="-0.25098422193060094"/>
          </stop>
        </gradientFill>
      </fill>
    </dxf>
    <dxf>
      <font>
        <color theme="0" tint="-0.24994659260841701"/>
      </font>
    </dxf>
    <dxf>
      <font>
        <color rgb="FFF3F2E9"/>
      </font>
      <fill>
        <gradientFill degree="90">
          <stop position="0">
            <color theme="0"/>
          </stop>
          <stop position="1">
            <color theme="4" tint="0.80001220740379042"/>
          </stop>
        </gradientFill>
      </fill>
      <border>
        <left style="thin">
          <color theme="0"/>
        </left>
        <right style="thin">
          <color theme="0"/>
        </right>
        <top/>
        <bottom/>
      </border>
    </dxf>
    <dxf>
      <font>
        <color rgb="FFFF0000"/>
      </font>
      <fill>
        <patternFill patternType="solid">
          <fgColor auto="1"/>
          <bgColor theme="0" tint="-4.9989318521683403E-2"/>
        </patternFill>
      </fill>
      <border>
        <left/>
        <right/>
        <top style="thin">
          <color theme="0"/>
        </top>
        <bottom style="thin">
          <color theme="0"/>
        </bottom>
      </border>
    </dxf>
    <dxf>
      <font>
        <color rgb="FFF3F2E9"/>
      </font>
      <fill>
        <patternFill patternType="solid">
          <fgColor auto="1"/>
          <bgColor theme="0" tint="-4.9989318521683403E-2"/>
        </patternFill>
      </fill>
      <border>
        <left/>
        <right/>
        <top style="thin">
          <color theme="0"/>
        </top>
        <bottom style="thin">
          <color theme="0"/>
        </bottom>
      </border>
    </dxf>
    <dxf>
      <font>
        <color rgb="FFF3F2E9"/>
      </font>
      <fill>
        <patternFill patternType="solid">
          <fgColor auto="1"/>
          <bgColor theme="0" tint="-4.9989318521683403E-2"/>
        </patternFill>
      </fill>
      <border>
        <left/>
        <right/>
        <top style="thin">
          <color theme="0"/>
        </top>
        <bottom style="thin">
          <color theme="0"/>
        </bottom>
      </border>
    </dxf>
    <dxf>
      <font>
        <color rgb="FFF3F2E9"/>
      </font>
      <fill>
        <patternFill patternType="solid">
          <fgColor auto="1"/>
          <bgColor theme="0" tint="-4.9989318521683403E-2"/>
        </patternFill>
      </fill>
      <border>
        <left/>
        <right/>
        <top style="thin">
          <color theme="0"/>
        </top>
        <bottom style="thin">
          <color theme="0"/>
        </bottom>
      </border>
    </dxf>
    <dxf>
      <font>
        <color rgb="FFF3F2E9"/>
      </font>
      <fill>
        <patternFill patternType="solid">
          <fgColor auto="1"/>
          <bgColor theme="0" tint="-4.9989318521683403E-2"/>
        </patternFill>
      </fill>
      <border>
        <left/>
        <right/>
        <top/>
        <bottom/>
      </border>
    </dxf>
    <dxf>
      <font>
        <color rgb="FFFF0000"/>
      </font>
    </dxf>
    <dxf>
      <font>
        <color rgb="FFF3F2E9"/>
      </font>
      <fill>
        <gradientFill degree="90">
          <stop position="0">
            <color theme="0"/>
          </stop>
          <stop position="1">
            <color theme="4" tint="0.80001220740379042"/>
          </stop>
        </gradientFill>
      </fill>
      <border>
        <left/>
        <right/>
        <top/>
        <bottom/>
      </border>
    </dxf>
    <dxf>
      <font>
        <color rgb="FFF3F2E9"/>
      </font>
      <fill>
        <gradientFill degree="90">
          <stop position="0">
            <color theme="0"/>
          </stop>
          <stop position="1">
            <color theme="4" tint="0.80001220740379042"/>
          </stop>
        </gradientFill>
      </fill>
      <border>
        <top style="thin">
          <color theme="0"/>
        </top>
        <bottom style="thin">
          <color theme="0"/>
        </bottom>
      </border>
    </dxf>
    <dxf>
      <font>
        <color rgb="FFF3F2E9"/>
      </font>
      <fill>
        <gradientFill degree="90">
          <stop position="0">
            <color theme="0"/>
          </stop>
          <stop position="1">
            <color theme="4" tint="0.80001220740379042"/>
          </stop>
        </gradientFill>
      </fill>
    </dxf>
    <dxf>
      <font>
        <color rgb="FFF3F2E9"/>
      </font>
      <fill>
        <gradientFill degree="90">
          <stop position="0">
            <color theme="0"/>
          </stop>
          <stop position="1">
            <color theme="4" tint="0.80001220740379042"/>
          </stop>
        </gradientFill>
      </fill>
    </dxf>
    <dxf>
      <font>
        <strike val="0"/>
        <color rgb="FFFF0000"/>
      </font>
    </dxf>
    <dxf>
      <font>
        <condense val="0"/>
        <extend val="0"/>
        <color indexed="55"/>
      </font>
    </dxf>
    <dxf>
      <font>
        <condense val="0"/>
        <extend val="0"/>
        <color indexed="55"/>
      </font>
    </dxf>
    <dxf>
      <font>
        <condense val="0"/>
        <extend val="0"/>
        <color indexed="55"/>
      </font>
    </dxf>
    <dxf>
      <font>
        <condense val="0"/>
        <extend val="0"/>
        <color indexed="55"/>
      </font>
    </dxf>
    <dxf>
      <font>
        <condense val="0"/>
        <extend val="0"/>
        <color indexed="55"/>
      </font>
    </dxf>
    <dxf>
      <font>
        <color rgb="FFFF6600"/>
      </font>
    </dxf>
    <dxf>
      <font>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5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mruColors>
      <color rgb="FFF6F9FC"/>
      <color rgb="FF87A9D3"/>
      <color rgb="FFF3F2E9"/>
      <color rgb="FFC4D5EA"/>
      <color rgb="FFFF7D7D"/>
      <color rgb="FFFFB7B7"/>
      <color rgb="FFF50000"/>
      <color rgb="FFFF4B4B"/>
      <color rgb="FFFFAFAF"/>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30</xdr:row>
      <xdr:rowOff>95250</xdr:rowOff>
    </xdr:from>
    <xdr:to>
      <xdr:col>3</xdr:col>
      <xdr:colOff>285750</xdr:colOff>
      <xdr:row>36</xdr:row>
      <xdr:rowOff>238125</xdr:rowOff>
    </xdr:to>
    <xdr:pic>
      <xdr:nvPicPr>
        <xdr:cNvPr id="1432" name="Picture 352" descr="ZKN_korporacyjny_negatyw_SZA3">
          <a:extLst>
            <a:ext uri="{FF2B5EF4-FFF2-40B4-BE49-F238E27FC236}">
              <a16:creationId xmlns:a16="http://schemas.microsoft.com/office/drawing/2014/main" id="{00000000-0008-0000-0000-000098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5705475"/>
          <a:ext cx="21240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indexed="10"/>
  </sheetPr>
  <dimension ref="A1:Q233"/>
  <sheetViews>
    <sheetView showGridLines="0" showZeros="0" tabSelected="1" topLeftCell="A2" zoomScaleNormal="100" workbookViewId="0">
      <selection activeCell="D13" sqref="D13"/>
    </sheetView>
  </sheetViews>
  <sheetFormatPr defaultColWidth="9.109375" defaultRowHeight="13.2"/>
  <cols>
    <col min="1" max="1" width="14.5546875" style="16" customWidth="1"/>
    <col min="2" max="2" width="6" style="16" customWidth="1"/>
    <col min="3" max="3" width="9.109375" style="16"/>
    <col min="4" max="4" width="6.44140625" style="16" customWidth="1"/>
    <col min="5" max="5" width="28.109375" style="16" customWidth="1"/>
    <col min="6" max="6" width="7.44140625" style="16" customWidth="1"/>
    <col min="7" max="7" width="5.44140625" style="16" bestFit="1" customWidth="1"/>
    <col min="8" max="8" width="7.44140625" style="16" customWidth="1"/>
    <col min="9" max="9" width="11" style="16" customWidth="1"/>
    <col min="10" max="10" width="2.44140625" style="16" customWidth="1"/>
    <col min="11" max="12" width="10.6640625" style="16" customWidth="1"/>
    <col min="13" max="13" width="20.33203125" style="16" hidden="1" customWidth="1"/>
    <col min="14" max="14" width="5.6640625" style="16" hidden="1" customWidth="1"/>
    <col min="15" max="17" width="9.109375" style="16" hidden="1" customWidth="1"/>
    <col min="18" max="19" width="9.109375" style="16" customWidth="1"/>
    <col min="20" max="16384" width="9.109375" style="16"/>
  </cols>
  <sheetData>
    <row r="1" spans="1:17" ht="17.25" hidden="1" customHeight="1">
      <c r="F1" s="272" t="s">
        <v>655</v>
      </c>
      <c r="G1" s="270"/>
      <c r="H1" s="270"/>
      <c r="I1" s="271" t="s">
        <v>396</v>
      </c>
      <c r="M1" s="33" t="s">
        <v>24</v>
      </c>
      <c r="N1" s="34">
        <f>VLOOKUP(I1,Języki,2,0)</f>
        <v>1</v>
      </c>
    </row>
    <row r="2" spans="1:17" ht="15" customHeight="1">
      <c r="A2" s="386" t="str">
        <f>CONCATENATE("ALPOL EKO PLUS - ",B67," ",B68)</f>
        <v>ALPOL EKO PLUS - Kalkulator systemu ociepleń - wersja 2023.04</v>
      </c>
      <c r="B2" s="387"/>
      <c r="C2" s="387"/>
      <c r="D2" s="387"/>
      <c r="E2" s="387"/>
      <c r="F2" s="263" t="str">
        <f>B70</f>
        <v>Kalkulacja wg. cen:</v>
      </c>
      <c r="G2" s="263"/>
      <c r="H2" s="263"/>
      <c r="I2" s="264" t="s">
        <v>99</v>
      </c>
      <c r="M2" s="33" t="s">
        <v>400</v>
      </c>
      <c r="N2" s="95" t="str">
        <f>CONCATENATE("[",LEFT(I2,3),"]")</f>
        <v>[PLN]</v>
      </c>
      <c r="O2" s="3">
        <f>IF(N2="[EUR]",0,1)</f>
        <v>1</v>
      </c>
    </row>
    <row r="3" spans="1:17" ht="15.9" customHeight="1">
      <c r="A3" s="388"/>
      <c r="B3" s="389"/>
      <c r="C3" s="389"/>
      <c r="D3" s="389"/>
      <c r="E3" s="389"/>
      <c r="F3" s="262" t="str">
        <f>B71</f>
        <v>Kurs EUR / PLN:</v>
      </c>
      <c r="G3" s="262"/>
      <c r="H3" s="262"/>
      <c r="I3" s="322">
        <v>4.3499999999999996</v>
      </c>
    </row>
    <row r="4" spans="1:17" s="20" customFormat="1" ht="15" customHeight="1">
      <c r="A4" s="323" t="str">
        <f>B83</f>
        <v>Dane</v>
      </c>
      <c r="B4" s="371" t="s">
        <v>666</v>
      </c>
      <c r="C4" s="371"/>
      <c r="D4" s="371"/>
      <c r="E4" s="371"/>
      <c r="F4" s="324" t="str">
        <f>B79</f>
        <v>Rabat dustrybutora [%]:</v>
      </c>
      <c r="G4" s="324"/>
      <c r="H4" s="324"/>
      <c r="I4" s="325"/>
      <c r="M4" s="96" t="str">
        <f>Ceny!E59</f>
        <v>PLN brutto</v>
      </c>
    </row>
    <row r="5" spans="1:17" s="20" customFormat="1" ht="15" customHeight="1">
      <c r="A5" s="269" t="str">
        <f>B76</f>
        <v>dystrybutora:</v>
      </c>
      <c r="B5" s="382" t="s">
        <v>667</v>
      </c>
      <c r="C5" s="382"/>
      <c r="D5" s="382"/>
      <c r="E5" s="382"/>
      <c r="F5" s="265" t="str">
        <f>B80</f>
        <v>Narzut dystrybutora [%]:</v>
      </c>
      <c r="G5" s="265"/>
      <c r="H5" s="265"/>
      <c r="I5" s="266">
        <v>0</v>
      </c>
      <c r="M5" s="28" t="str">
        <f>CONCATENATE(B75," ",N2," ",RIGHT(I2,LEN(I2)-4))</f>
        <v>Ceny [PLN] netto</v>
      </c>
    </row>
    <row r="6" spans="1:17" ht="15.9" customHeight="1"/>
    <row r="7" spans="1:17" ht="26.1" customHeight="1">
      <c r="A7" s="258"/>
      <c r="B7" s="259" t="str">
        <f>CONCATENATE("     ",B86," ALPOL EKO PLUS")</f>
        <v xml:space="preserve">     SYSTEM OCIEPLANIA ŚCIAN ALPOL EKO PLUS</v>
      </c>
      <c r="C7" s="260"/>
      <c r="D7" s="260"/>
      <c r="E7" s="260"/>
      <c r="F7" s="260"/>
      <c r="G7" s="260"/>
      <c r="H7" s="260"/>
      <c r="I7" s="261"/>
    </row>
    <row r="8" spans="1:17" ht="20.100000000000001" customHeight="1">
      <c r="A8" s="256"/>
      <c r="B8" s="255"/>
      <c r="C8" s="255" t="str">
        <f>B87</f>
        <v>docieplenie ścian zewnętrznych z zastosowaniem styropianu</v>
      </c>
      <c r="D8" s="255"/>
      <c r="E8" s="255"/>
      <c r="F8" s="255"/>
      <c r="G8" s="255"/>
      <c r="H8" s="255"/>
      <c r="I8" s="257"/>
    </row>
    <row r="9" spans="1:17" ht="14.1" customHeight="1">
      <c r="A9" s="321"/>
      <c r="B9" s="313"/>
      <c r="C9" s="313"/>
      <c r="D9" s="313"/>
      <c r="E9" s="313"/>
      <c r="F9" s="313"/>
      <c r="G9" s="313"/>
      <c r="H9" s="313"/>
      <c r="I9" s="313"/>
    </row>
    <row r="10" spans="1:17" ht="15.9" customHeight="1">
      <c r="A10" s="267" t="str">
        <f>B83</f>
        <v>Dane</v>
      </c>
      <c r="B10" s="406" t="s">
        <v>29</v>
      </c>
      <c r="C10" s="406"/>
      <c r="D10" s="406"/>
      <c r="E10" s="406"/>
      <c r="F10" s="406"/>
      <c r="G10" s="406"/>
      <c r="H10" s="175" t="str">
        <f>CONCATENATE(" ",B85)</f>
        <v xml:space="preserve"> data sporządzenia</v>
      </c>
      <c r="I10" s="182"/>
    </row>
    <row r="11" spans="1:17" ht="15.9" customHeight="1">
      <c r="A11" s="268" t="str">
        <f>B232</f>
        <v>projektu:</v>
      </c>
      <c r="B11" s="370" t="s">
        <v>674</v>
      </c>
      <c r="C11" s="370"/>
      <c r="D11" s="370"/>
      <c r="E11" s="370"/>
      <c r="F11" s="370"/>
      <c r="G11" s="370"/>
      <c r="H11" s="400">
        <v>45300</v>
      </c>
      <c r="I11" s="401"/>
    </row>
    <row r="12" spans="1:17" ht="7.5" customHeight="1">
      <c r="A12" s="275"/>
      <c r="B12" s="274"/>
      <c r="C12" s="274"/>
      <c r="D12" s="274"/>
      <c r="E12" s="274"/>
      <c r="F12" s="274"/>
      <c r="G12" s="274"/>
      <c r="H12" s="274"/>
      <c r="I12" s="276"/>
      <c r="P12" s="128"/>
      <c r="Q12" s="128"/>
    </row>
    <row r="13" spans="1:17" s="17" customFormat="1" ht="15.9" customHeight="1">
      <c r="A13" s="179" t="str">
        <f>B88</f>
        <v>Powierzchnia ocieplenia [m²]:</v>
      </c>
      <c r="B13" s="176"/>
      <c r="C13" s="176"/>
      <c r="D13" s="177">
        <v>200</v>
      </c>
      <c r="E13" s="176" t="str">
        <f>B90</f>
        <v>Rodzaj i parametry ściany:</v>
      </c>
      <c r="F13" s="404" t="s">
        <v>486</v>
      </c>
      <c r="G13" s="404"/>
      <c r="H13" s="404"/>
      <c r="I13" s="405"/>
      <c r="P13" s="75" t="s">
        <v>606</v>
      </c>
      <c r="Q13" s="75" t="s">
        <v>606</v>
      </c>
    </row>
    <row r="14" spans="1:17" s="17" customFormat="1" ht="15.9" customHeight="1">
      <c r="A14" s="180" t="str">
        <f>B227</f>
        <v>Grubość ściany nośnej [cm]:</v>
      </c>
      <c r="B14" s="133"/>
      <c r="C14" s="133"/>
      <c r="D14" s="160">
        <v>25</v>
      </c>
      <c r="E14" s="135" t="str">
        <f>B97</f>
        <v>Materiał konstrukcyjny ściany:</v>
      </c>
      <c r="F14" s="390" t="s">
        <v>48</v>
      </c>
      <c r="G14" s="391"/>
      <c r="H14" s="391"/>
      <c r="I14" s="392"/>
      <c r="M14" s="73" t="str">
        <f>IF(OR(F15=B140,F15=B141),"Kleje_1",IF(F15=B142,"Kleje_1_GRAFIT","Kleje_1_XPS"))</f>
        <v>Kleje_1_GRAFIT</v>
      </c>
      <c r="N14" s="74"/>
      <c r="P14" s="125" t="s">
        <v>603</v>
      </c>
      <c r="Q14" s="125" t="s">
        <v>604</v>
      </c>
    </row>
    <row r="15" spans="1:17" s="17" customFormat="1" ht="15.9" customHeight="1">
      <c r="A15" s="181" t="str">
        <f>B89</f>
        <v>Grubość izolacji termicz. [cm]:</v>
      </c>
      <c r="B15" s="134"/>
      <c r="C15" s="134"/>
      <c r="D15" s="159">
        <v>15</v>
      </c>
      <c r="E15" s="136" t="str">
        <f>CONCATENATE(B139,":")</f>
        <v>Izolacja termiczna:</v>
      </c>
      <c r="F15" s="390" t="s">
        <v>637</v>
      </c>
      <c r="G15" s="391"/>
      <c r="H15" s="391"/>
      <c r="I15" s="392"/>
      <c r="M15" s="27" t="str">
        <f>IF(OR(F15=B140,F15=B141),"Kleje_2",IF(F15=B142,"Kleje_2","Kleje_2_XPS"))</f>
        <v>Kleje_2</v>
      </c>
      <c r="N15" s="27">
        <f>IF(D15&gt;0,1,0)</f>
        <v>1</v>
      </c>
      <c r="P15" s="127">
        <f>ROUND(1/(0.17+D14/100/VLOOKUP(F14,tabela_ściany,2,0)+D15/100/VLOOKUP(F15,tabela_izolacja,2,0)+0.008/0.85+VLOOKUP(F13,tabela_budynki,3,0)/100/0.82)+0.001*F42,2)</f>
        <v>0.16</v>
      </c>
      <c r="Q15" s="127">
        <f>ROUND(1/(0.17+D14/100/VLOOKUP(F14,tabela_ściany,3,0)+D15/100/VLOOKUP(F15,tabela_izolacja,3,0)+0.008/0.85+VLOOKUP(F13,tabela_budynki,3,0)/100/0.82)+0.001*F42,2)</f>
        <v>0.18</v>
      </c>
    </row>
    <row r="16" spans="1:17" ht="25.5" customHeight="1" thickBot="1">
      <c r="A16" s="367" t="str">
        <f>IF(D15+D14=0,"",CONCATENATE(B228,IF(P15&lt;&gt;Q15,CONCATENATE(TEXT(P15,"0,00"),"÷",TEXT(Q15,"0,00")),TEXT(P15,"0,00"))," W/(m²∙K)",IF(Q16=2,B229,IF(Q16=1,B230,B231))))</f>
        <v>Szacunkowy współczynnik przenikania ciepła Uc: 0,16÷0,18 W/(m²∙K) - ściana spełnia wymagania WT (01.01.2021)</v>
      </c>
      <c r="B16" s="368"/>
      <c r="C16" s="368"/>
      <c r="D16" s="368"/>
      <c r="E16" s="368"/>
      <c r="F16" s="368"/>
      <c r="G16" s="368"/>
      <c r="H16" s="368"/>
      <c r="I16" s="369"/>
      <c r="J16" s="17"/>
      <c r="O16" s="27" t="s">
        <v>605</v>
      </c>
      <c r="P16" s="75">
        <v>0.2</v>
      </c>
      <c r="Q16" s="126">
        <f>IF(P15&gt;P16,2,IF(Q15&gt;P16,1,0))</f>
        <v>0</v>
      </c>
    </row>
    <row r="17" spans="1:17" ht="14.1" customHeight="1" thickTop="1">
      <c r="A17" s="314"/>
      <c r="B17" s="314"/>
      <c r="C17" s="314"/>
      <c r="D17" s="314"/>
      <c r="E17" s="314"/>
      <c r="F17" s="314"/>
      <c r="G17" s="314"/>
      <c r="H17" s="314"/>
      <c r="I17" s="314"/>
      <c r="J17" s="17"/>
      <c r="K17" s="247" t="str">
        <f>B110</f>
        <v>Rabaty</v>
      </c>
      <c r="L17" s="330" t="str">
        <f>M5</f>
        <v>Ceny [PLN] netto</v>
      </c>
      <c r="O17" s="27"/>
      <c r="P17" s="75"/>
      <c r="Q17" s="126"/>
    </row>
    <row r="18" spans="1:17" ht="15.9" customHeight="1">
      <c r="A18" s="334" t="str">
        <f>CONCATENATE("ALPOL EKO PLUS - ",B112)</f>
        <v>ALPOL EKO PLUS - Materiały warstwy izolacyjno- zbrojeniowej</v>
      </c>
      <c r="B18" s="335"/>
      <c r="C18" s="335"/>
      <c r="D18" s="335"/>
      <c r="E18" s="335"/>
      <c r="F18" s="183" t="str">
        <f>B105</f>
        <v>Zużycie</v>
      </c>
      <c r="G18" s="338" t="str">
        <f>B108</f>
        <v>Jedn.</v>
      </c>
      <c r="H18" s="184" t="str">
        <f>CONCATENATE("     ",M5)</f>
        <v xml:space="preserve">     Ceny [PLN] netto</v>
      </c>
      <c r="I18" s="185"/>
      <c r="J18" s="17"/>
      <c r="K18" s="248" t="str">
        <f>B111</f>
        <v>od pozycji</v>
      </c>
      <c r="L18" s="331"/>
    </row>
    <row r="19" spans="1:17" ht="15.9" customHeight="1">
      <c r="A19" s="336"/>
      <c r="B19" s="337"/>
      <c r="C19" s="337"/>
      <c r="D19" s="337"/>
      <c r="E19" s="337"/>
      <c r="F19" s="165" t="str">
        <f>CONCATENATE(B106," ",B107)</f>
        <v>na 1m²</v>
      </c>
      <c r="G19" s="339"/>
      <c r="H19" s="166" t="str">
        <f>B108</f>
        <v>Jedn.</v>
      </c>
      <c r="I19" s="186" t="str">
        <f>B107</f>
        <v>1m²</v>
      </c>
      <c r="J19" s="17"/>
      <c r="K19" s="249" t="s">
        <v>7</v>
      </c>
      <c r="L19" s="331"/>
      <c r="N19" s="55">
        <v>3</v>
      </c>
      <c r="P19" s="75" t="s">
        <v>94</v>
      </c>
    </row>
    <row r="20" spans="1:17" ht="12.75" customHeight="1">
      <c r="A20" s="187" t="str">
        <f>B113</f>
        <v>Klej do przyklejania płyt</v>
      </c>
      <c r="B20" s="131"/>
      <c r="C20" s="347" t="s">
        <v>516</v>
      </c>
      <c r="D20" s="402"/>
      <c r="E20" s="403"/>
      <c r="F20" s="238">
        <v>3.5</v>
      </c>
      <c r="G20" s="145" t="str">
        <f>B220</f>
        <v>kg</v>
      </c>
      <c r="H20" s="146">
        <f ca="1">IF($P20=0,VLOOKUP($C20,produkty,6,0)*cena,0)*M20</f>
        <v>1.17</v>
      </c>
      <c r="I20" s="188">
        <f ca="1">H20*F20</f>
        <v>4.0949999999999998</v>
      </c>
      <c r="J20" s="17"/>
      <c r="K20" s="137"/>
      <c r="L20" s="250" t="str">
        <f>B220</f>
        <v>kg</v>
      </c>
      <c r="M20" s="21">
        <f>(1-K20)</f>
        <v>1</v>
      </c>
      <c r="N20" s="55">
        <v>3.5</v>
      </c>
      <c r="O20" s="55">
        <v>1.1000000000000001</v>
      </c>
      <c r="P20">
        <f ca="1">IF(ISERROR(VLOOKUP(C20,INDIRECT($M$14),1,0)),1,0)</f>
        <v>0</v>
      </c>
    </row>
    <row r="21" spans="1:17" ht="12.75" customHeight="1">
      <c r="A21" s="189" t="str">
        <f>B114</f>
        <v>Siatka zbrojąca</v>
      </c>
      <c r="B21" s="151"/>
      <c r="C21" s="347" t="s">
        <v>574</v>
      </c>
      <c r="D21" s="347"/>
      <c r="E21" s="348"/>
      <c r="F21" s="239">
        <v>1.1499999999999999</v>
      </c>
      <c r="G21" s="145" t="str">
        <f>B221</f>
        <v>m²</v>
      </c>
      <c r="H21" s="146">
        <f>IF($C21&gt;0,VLOOKUP($C21,produkty,6,0)*cena,0)*M21</f>
        <v>5</v>
      </c>
      <c r="I21" s="188">
        <f>H21*F21</f>
        <v>5.75</v>
      </c>
      <c r="J21" s="17"/>
      <c r="K21" s="138"/>
      <c r="L21" s="251"/>
      <c r="M21" s="21">
        <f>(1-K21)</f>
        <v>1</v>
      </c>
      <c r="N21" s="55">
        <v>4</v>
      </c>
      <c r="O21" s="55">
        <v>1.1499999999999999</v>
      </c>
      <c r="P21"/>
    </row>
    <row r="22" spans="1:17" ht="12.75" customHeight="1">
      <c r="A22" s="190" t="str">
        <f>B115</f>
        <v>Klej do zatapiania siatki</v>
      </c>
      <c r="B22" s="237"/>
      <c r="C22" s="347" t="s">
        <v>517</v>
      </c>
      <c r="D22" s="347"/>
      <c r="E22" s="348"/>
      <c r="F22" s="240">
        <v>4</v>
      </c>
      <c r="G22" s="145" t="str">
        <f>B220</f>
        <v>kg</v>
      </c>
      <c r="H22" s="146">
        <f ca="1">IF($P22=0,VLOOKUP($C22,produkty,6,0)*cena,0)*M22</f>
        <v>1.56</v>
      </c>
      <c r="I22" s="188">
        <f ca="1">H22*F22</f>
        <v>6.24</v>
      </c>
      <c r="J22" s="17"/>
      <c r="K22" s="139"/>
      <c r="L22" s="251"/>
      <c r="M22" s="21">
        <f>(1-K22)</f>
        <v>1</v>
      </c>
      <c r="N22" s="55">
        <v>4.5</v>
      </c>
      <c r="O22" s="55">
        <v>1.2</v>
      </c>
      <c r="P22">
        <f ca="1">IF(ISERROR(VLOOKUP(C22,INDIRECT($M$15),1,0)),1,0)</f>
        <v>0</v>
      </c>
    </row>
    <row r="23" spans="1:17" ht="24" customHeight="1">
      <c r="A23" s="355" t="str">
        <f>CONCATENATE("ALPOL EKO PLUS - ",B116)</f>
        <v>ALPOL EKO PLUS - Materiały wyprawy elewacyjnej</v>
      </c>
      <c r="B23" s="356"/>
      <c r="C23" s="357"/>
      <c r="D23" s="357"/>
      <c r="E23" s="358"/>
      <c r="F23" s="167"/>
      <c r="G23" s="168"/>
      <c r="H23" s="168"/>
      <c r="I23" s="191"/>
      <c r="J23" s="17"/>
      <c r="K23" s="140"/>
      <c r="L23" s="252"/>
      <c r="M23" s="21"/>
      <c r="N23">
        <f>N24+N26+N28</f>
        <v>0</v>
      </c>
    </row>
    <row r="24" spans="1:17">
      <c r="A24" s="192" t="str">
        <f t="shared" ref="A24:A28" si="0">B117</f>
        <v>Tynk dekoracyjny</v>
      </c>
      <c r="B24" s="130"/>
      <c r="C24" s="393" t="s">
        <v>686</v>
      </c>
      <c r="D24" s="393"/>
      <c r="E24" s="393"/>
      <c r="F24" s="235">
        <f>IF($C24&gt;0,VLOOKUP($C24,produkty,7,0),0)</f>
        <v>2.5</v>
      </c>
      <c r="G24" s="147" t="str">
        <f>B220</f>
        <v>kg</v>
      </c>
      <c r="H24" s="148">
        <f>IF(N24=0,VLOOKUP($C24,produkty,6,0)*cena,L24*(1-I4)*(1+I5))*M24</f>
        <v>11.56</v>
      </c>
      <c r="I24" s="193">
        <f>H24*F24</f>
        <v>28.900000000000002</v>
      </c>
      <c r="J24" s="17"/>
      <c r="K24" s="141"/>
      <c r="L24" s="39"/>
      <c r="M24" s="21">
        <f>(1-K24)</f>
        <v>1</v>
      </c>
      <c r="N24">
        <f>IF(AND(C25=Ceny!A79,F24&gt;0,C24&gt;"AT 35"),1,0)</f>
        <v>0</v>
      </c>
    </row>
    <row r="25" spans="1:17">
      <c r="A25" s="192" t="str">
        <f t="shared" si="0"/>
        <v>Dopłata do koloru tynku</v>
      </c>
      <c r="B25" s="130"/>
      <c r="C25" s="359" t="s">
        <v>26</v>
      </c>
      <c r="D25" s="359"/>
      <c r="E25" s="359"/>
      <c r="F25" s="236"/>
      <c r="G25" s="147"/>
      <c r="H25" s="149">
        <f>IF(AND(C24&gt;"AT 349",C24&lt;"AT 390"),VLOOKUP(C24,produkty,VLOOKUP(C25,tabela_dopłaty_t,2,0),0)*H24,0)</f>
        <v>0</v>
      </c>
      <c r="I25" s="193">
        <f>H25*F24</f>
        <v>0</v>
      </c>
      <c r="J25" s="17"/>
      <c r="K25" s="142"/>
      <c r="L25" s="35"/>
      <c r="M25" s="21">
        <f>(1-K24)</f>
        <v>1</v>
      </c>
    </row>
    <row r="26" spans="1:17">
      <c r="A26" s="192" t="str">
        <f t="shared" si="0"/>
        <v>Grunt podtynkowy</v>
      </c>
      <c r="B26" s="130"/>
      <c r="C26" s="211" t="str">
        <f>IF($C24&gt;0,VLOOKUP($C24,produkty,8,0),0)</f>
        <v>AG 701 - grunt pod tynki mineralne i silikonowe</v>
      </c>
      <c r="D26" s="211"/>
      <c r="E26" s="211"/>
      <c r="F26" s="235">
        <f>IF($C26&gt;0,VLOOKUP($C26,produkty,7,0),0)</f>
        <v>0.3</v>
      </c>
      <c r="G26" s="147" t="str">
        <f>B220</f>
        <v>kg</v>
      </c>
      <c r="H26" s="148">
        <f>IF(N26=0,VLOOKUP($C26,produkty,6,0)*cena,L26*(1-I4)*(1+I5))*M26</f>
        <v>9.3600000000000012</v>
      </c>
      <c r="I26" s="193">
        <f>H26*F26</f>
        <v>2.8080000000000003</v>
      </c>
      <c r="J26" s="17"/>
      <c r="K26" s="141">
        <v>0</v>
      </c>
      <c r="L26" s="39"/>
      <c r="M26" s="21">
        <f>(1-K26)</f>
        <v>1</v>
      </c>
      <c r="N26">
        <f>IF(AND(C27=Ceny!A73,F26&gt;0),1,0)</f>
        <v>0</v>
      </c>
    </row>
    <row r="27" spans="1:17">
      <c r="A27" s="192" t="str">
        <f t="shared" si="0"/>
        <v>Dopłata do koloru gruntu</v>
      </c>
      <c r="B27" s="130"/>
      <c r="C27" s="399" t="s">
        <v>95</v>
      </c>
      <c r="D27" s="359"/>
      <c r="E27" s="359"/>
      <c r="F27" s="235"/>
      <c r="G27" s="147"/>
      <c r="H27" s="148">
        <f>IF(C24&lt;"AT 350",0,VLOOKUP(C26,produkty,VLOOKUP(C27,tabela_dopłaty_g,2,0),0)*H26)</f>
        <v>0.68999999999999972</v>
      </c>
      <c r="I27" s="193">
        <f>H27*F26</f>
        <v>0.20699999999999991</v>
      </c>
      <c r="J27" s="17"/>
      <c r="K27" s="142"/>
      <c r="L27" s="35"/>
      <c r="M27" s="21">
        <f>(1-K26)</f>
        <v>1</v>
      </c>
      <c r="O27" s="27" t="s">
        <v>553</v>
      </c>
      <c r="P27" s="75" t="s">
        <v>94</v>
      </c>
    </row>
    <row r="28" spans="1:17">
      <c r="A28" s="192" t="str">
        <f t="shared" si="0"/>
        <v>Farba elewacyjna</v>
      </c>
      <c r="B28" s="130"/>
      <c r="C28" s="359" t="s">
        <v>558</v>
      </c>
      <c r="D28" s="359"/>
      <c r="E28" s="359"/>
      <c r="F28" s="235">
        <f>IF(AND(C24&lt;"AT 350",C28&gt;0),VLOOKUP($C28,produkty,7,0)*VLOOKUP($C24,produkty,9,0),0)</f>
        <v>0</v>
      </c>
      <c r="G28" s="147" t="str">
        <f>B223</f>
        <v>litr</v>
      </c>
      <c r="H28" s="148">
        <f>IF(AND(C24&lt;"AT 350",N28=0),VLOOKUP($C28,produkty,6,0)*cena,IF(AND(C24&lt;"AT 350",N28=1),L28*(1-I4)*(1+I5),0))*M28</f>
        <v>0</v>
      </c>
      <c r="I28" s="193">
        <f>H28*F28</f>
        <v>0</v>
      </c>
      <c r="J28" s="17"/>
      <c r="K28" s="141"/>
      <c r="L28" s="39"/>
      <c r="M28" s="21">
        <f>(1-K28)</f>
        <v>1</v>
      </c>
      <c r="N28">
        <f>IF(AND(C29=Ceny!A79,F28&gt;0),1,0)</f>
        <v>0</v>
      </c>
      <c r="O28">
        <f>IF(AND(C24&lt;"AT 350",C29=Ceny!A88),1,0)</f>
        <v>0</v>
      </c>
      <c r="P28" s="27"/>
    </row>
    <row r="29" spans="1:17" ht="13.8" thickBot="1">
      <c r="A29" s="241" t="str">
        <f>IF(O29="dopłaty_f",B122,B226)</f>
        <v>Grunt pod impregnat</v>
      </c>
      <c r="B29" s="242"/>
      <c r="C29" s="394" t="s">
        <v>515</v>
      </c>
      <c r="D29" s="394"/>
      <c r="E29" s="394"/>
      <c r="F29" s="243">
        <f ca="1">IF(AND(O28=1,P29&lt;&gt;1),F26,0)</f>
        <v>0</v>
      </c>
      <c r="G29" s="244">
        <f>IF(O28=1,G26,0)</f>
        <v>0</v>
      </c>
      <c r="H29" s="245">
        <f ca="1">IF(AND(O29="dopłaty_i",P29&lt;&gt;1),H26,IF(AND(C28&lt;&gt;B167,P29&lt;&gt;1),VLOOKUP(C28,produkty,VLOOKUP(C29,tabela_dopłaty_f,2,0),0)*H28,0))</f>
        <v>9.3600000000000012</v>
      </c>
      <c r="I29" s="246">
        <f ca="1">IF(C29=Ceny!A88,H29*F29,H29*F28)</f>
        <v>0</v>
      </c>
      <c r="J29" s="17"/>
      <c r="K29" s="143">
        <f>SUM(K20:K28)</f>
        <v>0</v>
      </c>
      <c r="L29" s="36"/>
      <c r="M29" s="21">
        <f>(1-K28)</f>
        <v>1</v>
      </c>
      <c r="N29">
        <f>IF(AND(C27=Ceny!A73,F26&gt;0),1,0)</f>
        <v>0</v>
      </c>
      <c r="O29" t="str">
        <f>IF(C28=Ceny!A10,"dopłaty_i","dopłaty_f")</f>
        <v>dopłaty_i</v>
      </c>
      <c r="P29" s="27">
        <f ca="1">IF(ISERROR(VLOOKUP(C29,INDIRECT(O29),1,0)),1,0)</f>
        <v>0</v>
      </c>
    </row>
    <row r="30" spans="1:17" ht="9" customHeight="1" thickTop="1">
      <c r="A30" s="381"/>
      <c r="B30" s="395"/>
      <c r="C30" s="395"/>
      <c r="D30" s="395"/>
      <c r="E30" s="395"/>
      <c r="F30" s="395"/>
      <c r="G30" s="395"/>
      <c r="H30" s="395"/>
      <c r="I30" s="396"/>
      <c r="J30" s="17"/>
    </row>
    <row r="31" spans="1:17">
      <c r="A31" s="194"/>
      <c r="B31" s="178"/>
      <c r="C31" s="397"/>
      <c r="D31" s="397"/>
      <c r="E31" s="150" t="str">
        <f>B132</f>
        <v>RAZEM:</v>
      </c>
      <c r="F31" s="151">
        <v>1</v>
      </c>
      <c r="G31" s="144" t="str">
        <f>B221</f>
        <v>m²</v>
      </c>
      <c r="H31" s="152" t="str">
        <f>N2</f>
        <v>[PLN]</v>
      </c>
      <c r="I31" s="195">
        <f ca="1">SUM(I20:I29)</f>
        <v>48</v>
      </c>
    </row>
    <row r="32" spans="1:17" ht="6.75" customHeight="1">
      <c r="A32" s="196"/>
      <c r="B32"/>
      <c r="C32" s="398"/>
      <c r="D32" s="398"/>
      <c r="E32" s="353"/>
      <c r="F32" s="353"/>
      <c r="G32" s="353"/>
      <c r="H32" s="353"/>
      <c r="I32" s="354"/>
    </row>
    <row r="33" spans="1:15" ht="13.5" customHeight="1">
      <c r="A33" s="196"/>
      <c r="B33"/>
      <c r="C33" s="398"/>
      <c r="D33" s="398"/>
      <c r="E33" s="153" t="str">
        <f>B132</f>
        <v>RAZEM:</v>
      </c>
      <c r="F33" s="154">
        <f>$D$13</f>
        <v>200</v>
      </c>
      <c r="G33" s="155" t="str">
        <f>B221</f>
        <v>m²</v>
      </c>
      <c r="H33" s="152" t="str">
        <f>N2</f>
        <v>[PLN]</v>
      </c>
      <c r="I33" s="197">
        <f ca="1">I31*F33</f>
        <v>9600</v>
      </c>
    </row>
    <row r="34" spans="1:15" ht="6.75" customHeight="1">
      <c r="A34" s="196"/>
      <c r="B34"/>
      <c r="C34" s="398"/>
      <c r="D34" s="398"/>
      <c r="E34" s="352"/>
      <c r="F34" s="353"/>
      <c r="G34" s="353"/>
      <c r="H34" s="353"/>
      <c r="I34" s="354"/>
    </row>
    <row r="35" spans="1:15">
      <c r="A35" s="196"/>
      <c r="B35"/>
      <c r="C35" s="398"/>
      <c r="D35" s="398"/>
      <c r="E35" s="153" t="str">
        <f>B133</f>
        <v>RABAT NA SYSTEM:</v>
      </c>
      <c r="F35" s="212">
        <v>0</v>
      </c>
      <c r="G35" s="158" t="s">
        <v>7</v>
      </c>
      <c r="H35" s="152" t="str">
        <f>N2</f>
        <v>[PLN]</v>
      </c>
      <c r="I35" s="198">
        <f ca="1">I33*F35/100*(-1)</f>
        <v>0</v>
      </c>
    </row>
    <row r="36" spans="1:15">
      <c r="A36" s="199"/>
      <c r="B36" s="156"/>
      <c r="C36" s="398"/>
      <c r="D36" s="398"/>
      <c r="E36" s="349"/>
      <c r="F36" s="350"/>
      <c r="G36" s="350"/>
      <c r="H36" s="350"/>
      <c r="I36" s="351"/>
    </row>
    <row r="37" spans="1:15" ht="21.75" customHeight="1">
      <c r="A37" s="200"/>
      <c r="B37" s="157"/>
      <c r="C37" s="398"/>
      <c r="D37" s="398"/>
      <c r="E37" s="169" t="str">
        <f>CONCATENATE("     ",B134)</f>
        <v xml:space="preserve">     RAZEM MATERIAŁY ALPOL Z RABATEM:</v>
      </c>
      <c r="F37" s="170"/>
      <c r="G37" s="170"/>
      <c r="H37" s="171" t="str">
        <f>N2</f>
        <v>[PLN]</v>
      </c>
      <c r="I37" s="254">
        <f ca="1">I33+I35</f>
        <v>9600</v>
      </c>
    </row>
    <row r="38" spans="1:15" ht="13.5" customHeight="1" thickBot="1">
      <c r="A38" s="375"/>
      <c r="B38" s="376"/>
      <c r="C38" s="376"/>
      <c r="D38" s="376"/>
      <c r="E38" s="376"/>
      <c r="F38" s="376"/>
      <c r="G38" s="376"/>
      <c r="H38" s="376"/>
      <c r="I38" s="377"/>
    </row>
    <row r="39" spans="1:15" ht="15.9" customHeight="1" thickTop="1">
      <c r="A39" s="342" t="str">
        <f>CONCATENATE(B136,", ",B137)</f>
        <v>Materiał izolacji termicznej, łączniki mechaniczne i materiały uzupełniające</v>
      </c>
      <c r="B39" s="343"/>
      <c r="C39" s="343"/>
      <c r="D39" s="343"/>
      <c r="E39" s="343"/>
      <c r="F39" s="172" t="str">
        <f>F18</f>
        <v>Zużycie</v>
      </c>
      <c r="G39" s="340" t="str">
        <f>G18</f>
        <v>Jedn.</v>
      </c>
      <c r="H39" s="340" t="str">
        <f>H18</f>
        <v xml:space="preserve">     Ceny [PLN] netto</v>
      </c>
      <c r="I39" s="341">
        <f>I18</f>
        <v>0</v>
      </c>
      <c r="K39" s="253" t="str">
        <f>B138</f>
        <v>Rabat</v>
      </c>
      <c r="L39" s="332" t="str">
        <f>M5</f>
        <v>Ceny [PLN] netto</v>
      </c>
    </row>
    <row r="40" spans="1:15" ht="15.9" customHeight="1">
      <c r="A40" s="344"/>
      <c r="B40" s="345"/>
      <c r="C40" s="345"/>
      <c r="D40" s="345"/>
      <c r="E40" s="345"/>
      <c r="F40" s="213" t="str">
        <f>F19</f>
        <v>na 1m²</v>
      </c>
      <c r="G40" s="346"/>
      <c r="H40" s="173" t="str">
        <f>H19</f>
        <v>Jedn.</v>
      </c>
      <c r="I40" s="201" t="str">
        <f>I19</f>
        <v>1m²</v>
      </c>
      <c r="K40" s="277" t="s">
        <v>7</v>
      </c>
      <c r="L40" s="333"/>
      <c r="O40" s="55">
        <v>1</v>
      </c>
    </row>
    <row r="41" spans="1:15" ht="12.75" customHeight="1">
      <c r="A41" s="192" t="str">
        <f>B139</f>
        <v>Izolacja termiczna</v>
      </c>
      <c r="B41" s="130"/>
      <c r="C41" s="215" t="str">
        <f>IF(D15&gt;0,CONCATENATE(F15," ",B144," ",TEXT(D15,"0")," ",B149),B140)</f>
        <v>styropian grafitowy EPS 031÷033 grubości 15 cm</v>
      </c>
      <c r="D41" s="216"/>
      <c r="E41" s="217"/>
      <c r="F41" s="221">
        <v>1.03</v>
      </c>
      <c r="G41" s="297" t="str">
        <f>B221</f>
        <v>m²</v>
      </c>
      <c r="H41" s="298">
        <f>L41*M41*N15*cena</f>
        <v>0</v>
      </c>
      <c r="I41" s="299">
        <f>H41*F41</f>
        <v>0</v>
      </c>
      <c r="K41" s="278"/>
      <c r="L41" s="37">
        <v>0</v>
      </c>
      <c r="M41" s="24">
        <f>(1-K41)</f>
        <v>1</v>
      </c>
      <c r="O41" s="55">
        <v>1.03</v>
      </c>
    </row>
    <row r="42" spans="1:15" ht="12.75" customHeight="1">
      <c r="A42" s="192" t="str">
        <f>B145</f>
        <v>Łączniki mechaniczne</v>
      </c>
      <c r="B42" s="130"/>
      <c r="C42" s="218" t="str">
        <f>IF(D15&gt;0,CONCATENATE(VLOOKUP(F14,tabela_ściany,5,0)," ",B148," ",VLOOKUP(F14,tabela_ściany,4,0)),B146)</f>
        <v>łącznik z trzpieniem wbijanym lub wkręcanym  - kat. C</v>
      </c>
      <c r="D42" s="219"/>
      <c r="E42" s="220"/>
      <c r="F42" s="161">
        <f>IF($F$13&gt;"",VLOOKUP(F13,tabela_budynki,2,0),0)</f>
        <v>0</v>
      </c>
      <c r="G42" s="297" t="str">
        <f>B218</f>
        <v>szt.</v>
      </c>
      <c r="H42" s="298">
        <f>L42*M42*cena</f>
        <v>0</v>
      </c>
      <c r="I42" s="299">
        <f>H42*F42</f>
        <v>0</v>
      </c>
      <c r="K42" s="279"/>
      <c r="L42" s="38">
        <v>0</v>
      </c>
      <c r="M42" s="25">
        <f>(1-K42)</f>
        <v>1</v>
      </c>
      <c r="O42" s="55">
        <v>1.05</v>
      </c>
    </row>
    <row r="43" spans="1:15" ht="12.75" hidden="1" customHeight="1">
      <c r="A43" s="192"/>
      <c r="B43" s="130"/>
      <c r="C43" s="218"/>
      <c r="D43" s="219"/>
      <c r="E43" s="220"/>
      <c r="F43" s="222"/>
      <c r="G43" s="296"/>
      <c r="H43" s="162"/>
      <c r="I43" s="195"/>
      <c r="K43" s="280">
        <v>0</v>
      </c>
      <c r="L43" s="273">
        <v>0</v>
      </c>
      <c r="M43" s="25">
        <f>(1-K43)</f>
        <v>1</v>
      </c>
    </row>
    <row r="44" spans="1:15" ht="12.75" customHeight="1" thickBot="1">
      <c r="A44" s="187" t="str">
        <f>B150</f>
        <v>Materiały uzupełniające</v>
      </c>
      <c r="B44" s="132"/>
      <c r="C44" s="218" t="str">
        <f>B151</f>
        <v>cena szacunkowa na 1 m² powierzchni ocieplenia</v>
      </c>
      <c r="D44" s="219"/>
      <c r="E44" s="220"/>
      <c r="F44" s="300"/>
      <c r="G44" s="301"/>
      <c r="H44" s="214">
        <v>0</v>
      </c>
      <c r="I44" s="299">
        <f>H44</f>
        <v>0</v>
      </c>
      <c r="K44" s="26"/>
      <c r="L44" s="26"/>
    </row>
    <row r="45" spans="1:15" ht="6" customHeight="1" thickTop="1">
      <c r="A45" s="381"/>
      <c r="B45" s="376"/>
      <c r="C45" s="376"/>
      <c r="D45" s="376"/>
      <c r="E45" s="376"/>
      <c r="F45" s="376"/>
      <c r="G45" s="376"/>
      <c r="H45" s="376"/>
      <c r="I45" s="377"/>
    </row>
    <row r="46" spans="1:15" ht="13.5" customHeight="1">
      <c r="A46" s="202"/>
      <c r="B46" s="174"/>
      <c r="C46" s="174"/>
      <c r="D46" s="174"/>
      <c r="E46" s="153" t="str">
        <f>E31</f>
        <v>RAZEM:</v>
      </c>
      <c r="F46" s="153">
        <v>1</v>
      </c>
      <c r="G46" s="155" t="str">
        <f>B221</f>
        <v>m²</v>
      </c>
      <c r="H46" s="158" t="str">
        <f>N2</f>
        <v>[PLN]</v>
      </c>
      <c r="I46" s="254">
        <f>SUM(I41:I44)</f>
        <v>0</v>
      </c>
    </row>
    <row r="47" spans="1:15" ht="6" customHeight="1">
      <c r="A47" s="362"/>
      <c r="B47" s="363"/>
      <c r="C47" s="363"/>
      <c r="D47" s="363"/>
      <c r="E47" s="363"/>
      <c r="F47" s="363"/>
      <c r="G47" s="363"/>
      <c r="H47" s="363"/>
      <c r="I47" s="364"/>
    </row>
    <row r="48" spans="1:15">
      <c r="A48" s="203"/>
      <c r="B48" s="204"/>
      <c r="C48" s="204"/>
      <c r="D48" s="204"/>
      <c r="E48" s="205" t="str">
        <f>E33</f>
        <v>RAZEM:</v>
      </c>
      <c r="F48" s="206">
        <f>$D$13</f>
        <v>200</v>
      </c>
      <c r="G48" s="207" t="str">
        <f>B221</f>
        <v>m²</v>
      </c>
      <c r="H48" s="208" t="str">
        <f>N2</f>
        <v>[PLN]</v>
      </c>
      <c r="I48" s="254">
        <f>F48*I46</f>
        <v>0</v>
      </c>
    </row>
    <row r="49" spans="1:14" ht="14.1" customHeight="1">
      <c r="A49" s="365"/>
      <c r="B49" s="366"/>
      <c r="C49" s="366"/>
      <c r="D49" s="366"/>
      <c r="E49" s="366"/>
      <c r="F49" s="366"/>
      <c r="G49" s="366"/>
      <c r="H49" s="366"/>
      <c r="I49" s="366"/>
    </row>
    <row r="50" spans="1:14" ht="17.100000000000001" customHeight="1">
      <c r="A50" s="372" t="str">
        <f>B152</f>
        <v>ZESTAWIENIE ILOŚCIOWO-WARTOŚCIOWE MATERIAŁÓW</v>
      </c>
      <c r="B50" s="373"/>
      <c r="C50" s="373"/>
      <c r="D50" s="373"/>
      <c r="E50" s="373"/>
      <c r="F50" s="373"/>
      <c r="G50" s="373"/>
      <c r="H50" s="373"/>
      <c r="I50" s="374"/>
    </row>
    <row r="51" spans="1:14" ht="17.100000000000001" customHeight="1">
      <c r="A51" s="378" t="str">
        <f>B153</f>
        <v>ceny materiałów z rabatem, po przeliczeniu na pełne opakowania</v>
      </c>
      <c r="B51" s="379"/>
      <c r="C51" s="379"/>
      <c r="D51" s="379"/>
      <c r="E51" s="379"/>
      <c r="F51" s="379"/>
      <c r="G51" s="379"/>
      <c r="H51" s="379"/>
      <c r="I51" s="380"/>
    </row>
    <row r="52" spans="1:14" s="18" customFormat="1" ht="19.5" customHeight="1">
      <c r="A52" s="209" t="str">
        <f>CONCATENATE(B154," ",TEXT(D13,0)," ",B155," - ",M5)</f>
        <v>Materiały na 200 m² powierzchni ocieplenia - Ceny [PLN] netto</v>
      </c>
      <c r="B52" s="163"/>
      <c r="C52" s="163"/>
      <c r="D52" s="163"/>
      <c r="E52" s="163"/>
      <c r="F52" s="164" t="str">
        <f>G18</f>
        <v>Jedn.</v>
      </c>
      <c r="G52" s="164" t="str">
        <f>B159</f>
        <v>Ilość</v>
      </c>
      <c r="H52" s="164" t="str">
        <f>B160</f>
        <v>Cena</v>
      </c>
      <c r="I52" s="210" t="str">
        <f>B161</f>
        <v>Wartość</v>
      </c>
      <c r="J52" s="16"/>
    </row>
    <row r="53" spans="1:14" s="19" customFormat="1" ht="12.75" customHeight="1">
      <c r="A53" s="223" t="str">
        <f>A20</f>
        <v>Klej do przyklejania płyt</v>
      </c>
      <c r="B53" s="224"/>
      <c r="C53" s="305" t="str">
        <f>C20</f>
        <v>AK 525 - klej do styropianu STANDARD</v>
      </c>
      <c r="D53" s="306"/>
      <c r="E53" s="307"/>
      <c r="F53" s="281" t="str">
        <f>CONCATENATE("25 ",B220)</f>
        <v>25 kg</v>
      </c>
      <c r="G53" s="282">
        <f>CEILING(F20*D$13,25)/25</f>
        <v>28</v>
      </c>
      <c r="H53" s="283">
        <f ca="1">IF(NOT(P20),CEILING(H20*(1-$F$35/100)*25-0.005,0.01),0)</f>
        <v>29.25</v>
      </c>
      <c r="I53" s="284">
        <f t="shared" ref="I53:I60" ca="1" si="1">G53*H53</f>
        <v>819</v>
      </c>
      <c r="J53" s="16"/>
    </row>
    <row r="54" spans="1:14" s="19" customFormat="1" ht="12.75" customHeight="1">
      <c r="A54" s="225" t="str">
        <f>A21</f>
        <v>Siatka zbrojąca</v>
      </c>
      <c r="B54" s="226"/>
      <c r="C54" s="302" t="str">
        <f>C21</f>
        <v>SW 145 - siatka z włókna szklanego</v>
      </c>
      <c r="D54" s="303"/>
      <c r="E54" s="304"/>
      <c r="F54" s="285" t="str">
        <f>CONCATENATE(M54," ",B221)</f>
        <v>50 m²</v>
      </c>
      <c r="G54" s="286">
        <f>CEILING(F21*D$13,M54)/M54</f>
        <v>5</v>
      </c>
      <c r="H54" s="287">
        <f>CEILING(H21*(1-$F$35/100)*M54-0.005,0.01)</f>
        <v>250</v>
      </c>
      <c r="I54" s="288">
        <f t="shared" si="1"/>
        <v>1250</v>
      </c>
      <c r="J54" s="16"/>
      <c r="M54" s="22">
        <f>VLOOKUP(C54,produkty,3,0)</f>
        <v>50</v>
      </c>
    </row>
    <row r="55" spans="1:14" s="19" customFormat="1" ht="12.75" customHeight="1">
      <c r="A55" s="225" t="str">
        <f>A22</f>
        <v>Klej do zatapiania siatki</v>
      </c>
      <c r="B55" s="226"/>
      <c r="C55" s="302" t="str">
        <f>C22</f>
        <v>AK 527 - klej do ociepleń na styropianie STANDARD</v>
      </c>
      <c r="D55" s="303"/>
      <c r="E55" s="304"/>
      <c r="F55" s="285" t="str">
        <f>CONCATENATE("25 ",B220)</f>
        <v>25 kg</v>
      </c>
      <c r="G55" s="286">
        <f>CEILING(F22*D$13,25)/25</f>
        <v>32</v>
      </c>
      <c r="H55" s="287">
        <f ca="1">IF(NOT(P22),CEILING(H22*(1-$F$35/100)*25-0.005,0.01),0)</f>
        <v>39</v>
      </c>
      <c r="I55" s="288">
        <f t="shared" ca="1" si="1"/>
        <v>1248</v>
      </c>
      <c r="J55" s="16"/>
    </row>
    <row r="56" spans="1:14" s="19" customFormat="1" ht="12.75" customHeight="1">
      <c r="A56" s="225" t="str">
        <f>A24</f>
        <v>Tynk dekoracyjny</v>
      </c>
      <c r="B56" s="226"/>
      <c r="C56" s="302" t="str">
        <f>C24</f>
        <v>AT 361 - tynk silikonowy baranek 1,5 mm</v>
      </c>
      <c r="D56" s="303"/>
      <c r="E56" s="304"/>
      <c r="F56" s="285" t="str">
        <f>CONCATENATE("25 ",B220)</f>
        <v>25 kg</v>
      </c>
      <c r="G56" s="286">
        <f>CEILING(F24*D$13,25)/25</f>
        <v>20</v>
      </c>
      <c r="H56" s="287">
        <f>IF(H24&gt;0,CEILING((H24+H25)*(1-$F$35/100)*25-0.005,0.01),0)</f>
        <v>289</v>
      </c>
      <c r="I56" s="288">
        <f t="shared" si="1"/>
        <v>5780</v>
      </c>
      <c r="J56" s="16"/>
      <c r="N56" s="122" t="s">
        <v>591</v>
      </c>
    </row>
    <row r="57" spans="1:14" s="19" customFormat="1" ht="12.75" customHeight="1">
      <c r="A57" s="225" t="str">
        <f>A26</f>
        <v>Grunt podtynkowy</v>
      </c>
      <c r="B57" s="226"/>
      <c r="C57" s="308" t="str">
        <f>C26</f>
        <v>AG 701 - grunt pod tynki mineralne i silikonowe</v>
      </c>
      <c r="D57" s="303"/>
      <c r="E57" s="304"/>
      <c r="F57" s="285" t="str">
        <f>CONCATENATE(M57," ",B220)</f>
        <v>13 kg</v>
      </c>
      <c r="G57" s="286">
        <f>CEILING(F26*D$13*N57,M57)/M57</f>
        <v>10</v>
      </c>
      <c r="H57" s="287">
        <f>IF(H26&gt;0,CEILING((H26+H27)*(1-$F$35/100)*M57-0.005,0.01),0)</f>
        <v>130.65</v>
      </c>
      <c r="I57" s="288">
        <f t="shared" si="1"/>
        <v>1306.5</v>
      </c>
      <c r="J57" s="16"/>
      <c r="M57" s="22">
        <f>VLOOKUP($C26,produkty,3,0)</f>
        <v>13</v>
      </c>
      <c r="N57" s="22">
        <f>IF(O29="dopłaty_i",2,1)</f>
        <v>2</v>
      </c>
    </row>
    <row r="58" spans="1:14" s="19" customFormat="1" ht="12.75" customHeight="1">
      <c r="A58" s="225" t="str">
        <f>A28</f>
        <v>Farba elewacyjna</v>
      </c>
      <c r="B58" s="226"/>
      <c r="C58" s="302" t="str">
        <f>C28</f>
        <v>AI 785 - impregnat koloryzujący</v>
      </c>
      <c r="D58" s="303"/>
      <c r="E58" s="304"/>
      <c r="F58" s="289" t="s">
        <v>23</v>
      </c>
      <c r="G58" s="286">
        <f>CEILING(F28*D$13,10)/10</f>
        <v>0</v>
      </c>
      <c r="H58" s="287">
        <f>IF(M58&gt;0,CEILING(M58,0.01),0)</f>
        <v>0</v>
      </c>
      <c r="I58" s="288">
        <f t="shared" si="1"/>
        <v>0</v>
      </c>
      <c r="J58" s="16"/>
      <c r="M58" s="22">
        <f>IF(O29="dopłaty_f",(H28+H29),H28)*(1-$F$35/100)*10-0.005</f>
        <v>-5.0000000000000001E-3</v>
      </c>
    </row>
    <row r="59" spans="1:14" s="19" customFormat="1" ht="12.75" customHeight="1">
      <c r="A59" s="225" t="str">
        <f>A41</f>
        <v>Izolacja termiczna</v>
      </c>
      <c r="B59" s="226"/>
      <c r="C59" s="302" t="str">
        <f>C41</f>
        <v>styropian grafitowy EPS 031÷033 grubości 15 cm</v>
      </c>
      <c r="D59" s="303"/>
      <c r="E59" s="304"/>
      <c r="F59" s="285" t="str">
        <f>IF(M59&lt;10000,B221,B222)</f>
        <v>m²</v>
      </c>
      <c r="G59" s="286">
        <f>IF(M59&lt;10000,M59,CEILING(M59*D15/100,1))</f>
        <v>206</v>
      </c>
      <c r="H59" s="290">
        <f>IF(M59&lt;10000,H41,IF(D15&gt;0,H41/D15*100,0))</f>
        <v>0</v>
      </c>
      <c r="I59" s="288">
        <f t="shared" si="1"/>
        <v>0</v>
      </c>
      <c r="J59" s="16"/>
      <c r="M59" s="22">
        <f>CEILING(F41*$D$13,1)</f>
        <v>206</v>
      </c>
    </row>
    <row r="60" spans="1:14" s="19" customFormat="1" ht="12.75" customHeight="1">
      <c r="A60" s="225" t="str">
        <f>A42</f>
        <v>Łączniki mechaniczne</v>
      </c>
      <c r="B60" s="226"/>
      <c r="C60" s="309" t="str">
        <f>C42</f>
        <v>łącznik z trzpieniem wbijanym lub wkręcanym  - kat. C</v>
      </c>
      <c r="D60" s="310"/>
      <c r="E60" s="311"/>
      <c r="F60" s="291" t="str">
        <f>IF(M60&lt;10000,B218,B219)</f>
        <v>szt.</v>
      </c>
      <c r="G60" s="292">
        <f>IF(M60&lt;10000,M60,CEILING(M60/1000,1))</f>
        <v>0</v>
      </c>
      <c r="H60" s="293">
        <f>IF(M60&lt;10000,H42,H42*1000)</f>
        <v>0</v>
      </c>
      <c r="I60" s="294">
        <f t="shared" si="1"/>
        <v>0</v>
      </c>
      <c r="J60" s="16"/>
      <c r="M60" s="22">
        <f>F42*$D$13</f>
        <v>0</v>
      </c>
    </row>
    <row r="61" spans="1:14" s="19" customFormat="1" ht="12.75" customHeight="1">
      <c r="A61" s="227"/>
      <c r="B61" s="228"/>
      <c r="C61" s="295"/>
      <c r="D61" s="295"/>
      <c r="E61" s="312"/>
      <c r="F61" s="231"/>
      <c r="G61" s="232"/>
      <c r="H61" s="233"/>
      <c r="I61" s="234"/>
      <c r="J61" s="16"/>
    </row>
    <row r="62" spans="1:14" s="19" customFormat="1" ht="12.75" customHeight="1">
      <c r="A62" s="229" t="str">
        <f>A44</f>
        <v>Materiały uzupełniające</v>
      </c>
      <c r="B62" s="230"/>
      <c r="C62" s="302" t="str">
        <f>CONCATENATE(B162," ",$D$13," ",B163)</f>
        <v>wartość szacunkowa na 200 m² pow. ocieplenia</v>
      </c>
      <c r="D62" s="303"/>
      <c r="E62" s="304"/>
      <c r="F62" s="360"/>
      <c r="G62" s="361"/>
      <c r="H62" s="361"/>
      <c r="I62" s="294">
        <f>I44*$D$13</f>
        <v>0</v>
      </c>
      <c r="J62" s="16"/>
    </row>
    <row r="63" spans="1:14" ht="18.75" customHeight="1">
      <c r="A63" s="315" t="str">
        <f>IF(AND(I4=0,I5=0),CONCATENATE(B67," ",B68,"  ",B69," ",Ceny!B1),CONCATENATE(B4,"  ",B5))</f>
        <v>Kalkulator systemu ociepleń - wersja 2023.04  Cennik: PL 01.04.2023</v>
      </c>
      <c r="B63" s="316"/>
      <c r="C63" s="316"/>
      <c r="D63" s="316"/>
      <c r="E63" s="316"/>
      <c r="F63" s="317"/>
      <c r="G63" s="318" t="str">
        <f>CONCATENATE(E33," ")</f>
        <v xml:space="preserve">RAZEM: </v>
      </c>
      <c r="H63" s="319" t="str">
        <f>N2</f>
        <v>[PLN]</v>
      </c>
      <c r="I63" s="320">
        <f ca="1">SUM(I53:I62)</f>
        <v>10403.5</v>
      </c>
    </row>
    <row r="64" spans="1:14" ht="23.4" customHeight="1">
      <c r="A64" s="383" t="str">
        <f>B233</f>
        <v>Powyższe kalkulacje nie stanowią oferty w rozumieniu Kodeksu Cywilnego i mają charakter wyłącznie informacyjny.
Przyjęte zużycie materiałów może ulec zmianie w zależności od sposobu aplikacji, jakości podłoża i doświadczenia wykonawcy.</v>
      </c>
      <c r="B64" s="384"/>
      <c r="C64" s="384"/>
      <c r="D64" s="384"/>
      <c r="E64" s="384"/>
      <c r="F64" s="384"/>
      <c r="G64" s="384"/>
      <c r="H64" s="384"/>
      <c r="I64" s="385"/>
    </row>
    <row r="66" spans="1:11" hidden="1">
      <c r="A66" s="28">
        <v>1</v>
      </c>
      <c r="B66" s="28" t="str">
        <f t="shared" ref="B66:B99" si="2">VLOOKUP(A66,opisy,$N$1+1,0)</f>
        <v>Polski</v>
      </c>
      <c r="C66"/>
      <c r="D66"/>
      <c r="E66"/>
      <c r="F66"/>
      <c r="G66"/>
      <c r="H66"/>
      <c r="I66"/>
      <c r="J66"/>
      <c r="K66"/>
    </row>
    <row r="67" spans="1:11" hidden="1">
      <c r="A67" s="28">
        <v>2</v>
      </c>
      <c r="B67" s="28" t="str">
        <f t="shared" si="2"/>
        <v>Kalkulator systemu ociepleń</v>
      </c>
      <c r="C67"/>
      <c r="D67"/>
      <c r="E67"/>
      <c r="F67"/>
      <c r="G67"/>
      <c r="H67"/>
      <c r="I67"/>
      <c r="J67"/>
      <c r="K67"/>
    </row>
    <row r="68" spans="1:11" hidden="1">
      <c r="A68" s="28">
        <v>3</v>
      </c>
      <c r="B68" s="28" t="str">
        <f t="shared" si="2"/>
        <v>- wersja 2023.04</v>
      </c>
      <c r="C68"/>
      <c r="D68"/>
      <c r="E68"/>
      <c r="F68"/>
      <c r="G68"/>
      <c r="H68"/>
      <c r="I68"/>
      <c r="J68"/>
      <c r="K68"/>
    </row>
    <row r="69" spans="1:11" hidden="1">
      <c r="A69" s="28">
        <v>4</v>
      </c>
      <c r="B69" s="28" t="str">
        <f t="shared" si="2"/>
        <v>Cennik:</v>
      </c>
      <c r="C69"/>
      <c r="D69"/>
      <c r="E69"/>
      <c r="F69"/>
      <c r="G69"/>
      <c r="H69"/>
      <c r="I69"/>
      <c r="J69"/>
      <c r="K69"/>
    </row>
    <row r="70" spans="1:11" hidden="1">
      <c r="A70" s="28">
        <v>5</v>
      </c>
      <c r="B70" s="28" t="str">
        <f t="shared" si="2"/>
        <v>Kalkulacja wg. cen:</v>
      </c>
      <c r="C70"/>
      <c r="D70"/>
      <c r="E70"/>
      <c r="F70"/>
      <c r="G70"/>
      <c r="H70"/>
      <c r="I70"/>
      <c r="J70"/>
      <c r="K70"/>
    </row>
    <row r="71" spans="1:11" hidden="1">
      <c r="A71" s="28">
        <v>6</v>
      </c>
      <c r="B71" s="28" t="str">
        <f t="shared" si="2"/>
        <v>Kurs EUR / PLN:</v>
      </c>
      <c r="C71"/>
      <c r="D71"/>
      <c r="E71"/>
      <c r="F71"/>
      <c r="G71"/>
      <c r="H71"/>
      <c r="I71"/>
      <c r="J71"/>
      <c r="K71"/>
    </row>
    <row r="72" spans="1:11" hidden="1">
      <c r="A72" s="28">
        <v>7</v>
      </c>
      <c r="B72" s="28" t="str">
        <f t="shared" si="2"/>
        <v>netto</v>
      </c>
      <c r="C72"/>
      <c r="D72"/>
      <c r="E72"/>
      <c r="F72"/>
      <c r="G72"/>
      <c r="H72"/>
      <c r="I72"/>
      <c r="J72"/>
      <c r="K72"/>
    </row>
    <row r="73" spans="1:11" hidden="1">
      <c r="A73" s="28">
        <v>8</v>
      </c>
      <c r="B73" s="28" t="str">
        <f t="shared" si="2"/>
        <v>brutto</v>
      </c>
      <c r="C73"/>
      <c r="D73"/>
      <c r="E73"/>
      <c r="F73"/>
      <c r="G73"/>
      <c r="H73"/>
      <c r="I73"/>
      <c r="J73"/>
      <c r="K73"/>
    </row>
    <row r="74" spans="1:11" hidden="1">
      <c r="A74" s="28">
        <v>9</v>
      </c>
      <c r="B74" s="28" t="str">
        <f t="shared" si="2"/>
        <v>VAT (PL):</v>
      </c>
      <c r="C74"/>
      <c r="D74"/>
      <c r="E74"/>
      <c r="F74"/>
      <c r="G74"/>
      <c r="H74"/>
      <c r="I74"/>
      <c r="J74"/>
      <c r="K74"/>
    </row>
    <row r="75" spans="1:11" hidden="1">
      <c r="A75" s="28">
        <v>10</v>
      </c>
      <c r="B75" s="28" t="str">
        <f t="shared" si="2"/>
        <v>Ceny</v>
      </c>
      <c r="C75"/>
      <c r="D75"/>
      <c r="E75"/>
      <c r="F75"/>
      <c r="G75"/>
      <c r="H75"/>
      <c r="I75"/>
      <c r="J75"/>
      <c r="K75"/>
    </row>
    <row r="76" spans="1:11" hidden="1">
      <c r="A76" s="28">
        <v>11</v>
      </c>
      <c r="B76" s="28" t="str">
        <f t="shared" si="2"/>
        <v>dystrybutora:</v>
      </c>
      <c r="C76"/>
      <c r="D76"/>
      <c r="E76"/>
      <c r="F76"/>
      <c r="G76"/>
      <c r="H76"/>
      <c r="I76"/>
      <c r="J76"/>
      <c r="K76"/>
    </row>
    <row r="77" spans="1:11" hidden="1">
      <c r="A77" s="28">
        <v>12</v>
      </c>
      <c r="B77" s="28" t="str">
        <f t="shared" si="2"/>
        <v>Nazwa dystrybutora Alpol</v>
      </c>
      <c r="C77"/>
      <c r="D77"/>
      <c r="E77"/>
      <c r="F77"/>
      <c r="G77"/>
      <c r="H77"/>
      <c r="I77"/>
      <c r="J77"/>
      <c r="K77"/>
    </row>
    <row r="78" spans="1:11" hidden="1">
      <c r="A78" s="28">
        <v>13</v>
      </c>
      <c r="B78" s="28" t="str">
        <f t="shared" si="2"/>
        <v>Adres dystrybutora, telefon, kontakt</v>
      </c>
      <c r="C78"/>
      <c r="D78"/>
      <c r="E78"/>
      <c r="F78"/>
      <c r="G78"/>
      <c r="H78"/>
      <c r="I78"/>
      <c r="J78"/>
      <c r="K78"/>
    </row>
    <row r="79" spans="1:11" hidden="1">
      <c r="A79" s="28">
        <v>14</v>
      </c>
      <c r="B79" s="28" t="str">
        <f t="shared" si="2"/>
        <v>Rabat dustrybutora [%]:</v>
      </c>
      <c r="C79"/>
      <c r="D79"/>
      <c r="E79"/>
      <c r="F79"/>
      <c r="G79"/>
      <c r="H79"/>
      <c r="I79"/>
      <c r="J79"/>
      <c r="K79"/>
    </row>
    <row r="80" spans="1:11" hidden="1">
      <c r="A80" s="28">
        <v>15</v>
      </c>
      <c r="B80" s="28" t="str">
        <f t="shared" si="2"/>
        <v>Narzut dystrybutora [%]:</v>
      </c>
      <c r="C80"/>
      <c r="D80"/>
      <c r="E80"/>
      <c r="F80"/>
      <c r="G80"/>
      <c r="H80"/>
      <c r="I80"/>
      <c r="J80"/>
      <c r="K80"/>
    </row>
    <row r="81" spans="1:11" hidden="1">
      <c r="A81" s="28">
        <v>16</v>
      </c>
      <c r="B81" s="28" t="str">
        <f t="shared" si="2"/>
        <v>Kalkulacja dla:</v>
      </c>
      <c r="C81"/>
      <c r="D81"/>
      <c r="E81"/>
      <c r="F81"/>
      <c r="G81"/>
      <c r="H81"/>
      <c r="I81"/>
      <c r="J81"/>
      <c r="K81"/>
    </row>
    <row r="82" spans="1:11" hidden="1">
      <c r="A82" s="28">
        <v>17</v>
      </c>
      <c r="B82" s="28" t="str">
        <f t="shared" si="2"/>
        <v>Nazwa odbiorcy kalkulacji</v>
      </c>
      <c r="C82"/>
      <c r="D82"/>
      <c r="E82"/>
      <c r="F82"/>
      <c r="G82"/>
      <c r="H82"/>
      <c r="I82"/>
      <c r="J82"/>
      <c r="K82"/>
    </row>
    <row r="83" spans="1:11" hidden="1">
      <c r="A83" s="28">
        <v>18</v>
      </c>
      <c r="B83" s="28" t="str">
        <f t="shared" si="2"/>
        <v>Dane</v>
      </c>
      <c r="C83"/>
      <c r="D83"/>
      <c r="E83"/>
      <c r="F83"/>
      <c r="G83"/>
      <c r="H83"/>
      <c r="I83"/>
      <c r="J83"/>
      <c r="K83"/>
    </row>
    <row r="84" spans="1:11" hidden="1">
      <c r="A84" s="28">
        <v>19</v>
      </c>
      <c r="B84" s="28" t="str">
        <f t="shared" si="2"/>
        <v xml:space="preserve">Nazwa inwestycji, Ulica, Miejscowość </v>
      </c>
      <c r="C84"/>
      <c r="D84"/>
      <c r="E84"/>
      <c r="F84"/>
      <c r="G84"/>
      <c r="H84"/>
      <c r="I84"/>
      <c r="J84"/>
      <c r="K84"/>
    </row>
    <row r="85" spans="1:11" hidden="1">
      <c r="A85" s="28">
        <v>20</v>
      </c>
      <c r="B85" s="28" t="str">
        <f t="shared" si="2"/>
        <v>data sporządzenia</v>
      </c>
      <c r="C85"/>
      <c r="D85"/>
      <c r="E85"/>
      <c r="F85"/>
      <c r="G85"/>
      <c r="H85"/>
      <c r="I85"/>
      <c r="J85"/>
      <c r="K85"/>
    </row>
    <row r="86" spans="1:11" hidden="1">
      <c r="A86" s="28">
        <v>21</v>
      </c>
      <c r="B86" s="28" t="str">
        <f t="shared" si="2"/>
        <v>SYSTEM OCIEPLANIA ŚCIAN</v>
      </c>
      <c r="C86"/>
      <c r="D86"/>
      <c r="E86"/>
      <c r="F86"/>
      <c r="G86"/>
      <c r="H86"/>
      <c r="I86"/>
      <c r="J86"/>
      <c r="K86"/>
    </row>
    <row r="87" spans="1:11" hidden="1">
      <c r="A87" s="28">
        <v>22</v>
      </c>
      <c r="B87" s="28" t="str">
        <f t="shared" si="2"/>
        <v>docieplenie ścian zewnętrznych z zastosowaniem styropianu</v>
      </c>
      <c r="C87"/>
      <c r="D87"/>
      <c r="E87"/>
      <c r="F87"/>
      <c r="G87"/>
      <c r="H87"/>
      <c r="I87"/>
      <c r="J87"/>
      <c r="K87"/>
    </row>
    <row r="88" spans="1:11" hidden="1">
      <c r="A88" s="28">
        <v>23</v>
      </c>
      <c r="B88" s="28" t="str">
        <f t="shared" si="2"/>
        <v>Powierzchnia ocieplenia [m²]:</v>
      </c>
      <c r="C88"/>
      <c r="D88"/>
      <c r="E88"/>
      <c r="F88"/>
      <c r="G88"/>
      <c r="H88"/>
      <c r="I88"/>
      <c r="J88"/>
      <c r="K88"/>
    </row>
    <row r="89" spans="1:11" hidden="1">
      <c r="A89" s="28">
        <v>24</v>
      </c>
      <c r="B89" s="28" t="str">
        <f t="shared" si="2"/>
        <v>Grubość izolacji termicz. [cm]:</v>
      </c>
      <c r="C89"/>
      <c r="D89"/>
      <c r="E89"/>
      <c r="F89"/>
      <c r="G89"/>
      <c r="H89"/>
      <c r="I89"/>
      <c r="J89"/>
      <c r="K89"/>
    </row>
    <row r="90" spans="1:11" hidden="1">
      <c r="A90" s="28">
        <v>25</v>
      </c>
      <c r="B90" s="28" t="str">
        <f t="shared" si="2"/>
        <v>Rodzaj i parametry ściany:</v>
      </c>
      <c r="C90"/>
      <c r="D90"/>
      <c r="E90"/>
      <c r="F90"/>
      <c r="G90"/>
      <c r="H90"/>
      <c r="I90"/>
      <c r="J90"/>
      <c r="K90"/>
    </row>
    <row r="91" spans="1:11" hidden="1">
      <c r="A91" s="28">
        <v>26</v>
      </c>
      <c r="B91" s="28" t="str">
        <f t="shared" si="2"/>
        <v>bez tynku - wysokość do 12 m.</v>
      </c>
      <c r="C91"/>
      <c r="D91"/>
      <c r="E91"/>
      <c r="F91"/>
      <c r="G91"/>
      <c r="H91"/>
      <c r="I91"/>
      <c r="J91"/>
      <c r="K91"/>
    </row>
    <row r="92" spans="1:11" hidden="1">
      <c r="A92" s="28">
        <v>27</v>
      </c>
      <c r="B92" s="28" t="str">
        <f t="shared" si="2"/>
        <v>bez tynku - wysokość od 12 do 20 m.</v>
      </c>
      <c r="C92"/>
      <c r="D92"/>
      <c r="E92"/>
      <c r="F92"/>
      <c r="G92"/>
      <c r="H92"/>
      <c r="I92"/>
      <c r="J92"/>
      <c r="K92"/>
    </row>
    <row r="93" spans="1:11" hidden="1">
      <c r="A93" s="28">
        <v>28</v>
      </c>
      <c r="B93" s="28" t="str">
        <f t="shared" si="2"/>
        <v>bez tynku - wysokość od 20 do 25 m.</v>
      </c>
      <c r="C93"/>
      <c r="D93"/>
      <c r="E93"/>
      <c r="F93"/>
      <c r="G93"/>
      <c r="H93"/>
      <c r="I93"/>
      <c r="J93"/>
      <c r="K93"/>
    </row>
    <row r="94" spans="1:11" hidden="1">
      <c r="A94" s="28">
        <v>29</v>
      </c>
      <c r="B94" s="28" t="str">
        <f t="shared" si="2"/>
        <v>z tynkiem - wysokość do 12 m.</v>
      </c>
      <c r="C94"/>
      <c r="D94"/>
      <c r="E94"/>
      <c r="F94"/>
      <c r="G94"/>
      <c r="H94"/>
      <c r="I94"/>
      <c r="J94"/>
      <c r="K94"/>
    </row>
    <row r="95" spans="1:11" hidden="1">
      <c r="A95" s="28">
        <v>30</v>
      </c>
      <c r="B95" s="28" t="str">
        <f t="shared" si="2"/>
        <v>z tynkiem - wysokość od 12 do 20 m.</v>
      </c>
      <c r="C95"/>
      <c r="D95"/>
      <c r="E95"/>
      <c r="F95"/>
      <c r="G95"/>
      <c r="H95"/>
      <c r="I95"/>
      <c r="J95"/>
      <c r="K95"/>
    </row>
    <row r="96" spans="1:11" hidden="1">
      <c r="A96" s="28">
        <v>31</v>
      </c>
      <c r="B96" s="28" t="str">
        <f t="shared" si="2"/>
        <v>z tynkiem - wysokość od 20 do 25 m.</v>
      </c>
      <c r="C96"/>
      <c r="D96"/>
      <c r="E96"/>
      <c r="F96"/>
      <c r="G96"/>
      <c r="H96"/>
      <c r="I96"/>
      <c r="J96"/>
      <c r="K96"/>
    </row>
    <row r="97" spans="1:11" hidden="1">
      <c r="A97" s="28">
        <v>32</v>
      </c>
      <c r="B97" s="28" t="str">
        <f t="shared" si="2"/>
        <v>Materiał konstrukcyjny ściany:</v>
      </c>
      <c r="C97"/>
      <c r="D97"/>
      <c r="E97"/>
      <c r="F97"/>
      <c r="G97"/>
      <c r="H97"/>
      <c r="I97"/>
      <c r="J97"/>
      <c r="K97"/>
    </row>
    <row r="98" spans="1:11" hidden="1">
      <c r="A98" s="28">
        <v>33</v>
      </c>
      <c r="B98" s="28" t="str">
        <f t="shared" si="2"/>
        <v>beton zwykły</v>
      </c>
      <c r="C98"/>
      <c r="D98"/>
      <c r="E98"/>
      <c r="F98"/>
      <c r="G98"/>
      <c r="H98"/>
      <c r="I98"/>
      <c r="J98"/>
      <c r="K98"/>
    </row>
    <row r="99" spans="1:11" hidden="1">
      <c r="A99" s="28">
        <v>34</v>
      </c>
      <c r="B99" s="28" t="str">
        <f t="shared" si="2"/>
        <v>cegła pełna</v>
      </c>
      <c r="C99"/>
      <c r="D99"/>
      <c r="E99"/>
      <c r="F99"/>
      <c r="G99"/>
      <c r="H99"/>
      <c r="I99"/>
      <c r="J99"/>
      <c r="K99"/>
    </row>
    <row r="100" spans="1:11" hidden="1">
      <c r="A100" s="28">
        <v>35</v>
      </c>
      <c r="B100" s="28" t="str">
        <f t="shared" ref="B100:B131" si="3">VLOOKUP(A100,opisy,$N$1+1,0)</f>
        <v>cegła ceramiczna szczelinowa</v>
      </c>
      <c r="C100"/>
      <c r="D100"/>
      <c r="E100"/>
      <c r="F100"/>
      <c r="G100"/>
      <c r="H100"/>
      <c r="I100"/>
      <c r="J100"/>
      <c r="K100"/>
    </row>
    <row r="101" spans="1:11" hidden="1">
      <c r="A101" s="28">
        <v>36</v>
      </c>
      <c r="B101" s="28" t="str">
        <f t="shared" si="3"/>
        <v>cegła silikatowa szczelinowa</v>
      </c>
      <c r="C101"/>
      <c r="D101"/>
      <c r="E101"/>
      <c r="F101"/>
      <c r="G101"/>
      <c r="H101"/>
      <c r="I101"/>
      <c r="J101"/>
      <c r="K101"/>
    </row>
    <row r="102" spans="1:11" hidden="1">
      <c r="A102" s="28">
        <v>37</v>
      </c>
      <c r="B102" s="28" t="str">
        <f t="shared" si="3"/>
        <v>pustak z ceramiki poryzowanej</v>
      </c>
      <c r="C102"/>
      <c r="D102"/>
      <c r="E102"/>
      <c r="F102"/>
      <c r="G102"/>
      <c r="H102"/>
      <c r="I102"/>
      <c r="J102"/>
      <c r="K102"/>
    </row>
    <row r="103" spans="1:11" hidden="1">
      <c r="A103" s="28">
        <v>38</v>
      </c>
      <c r="B103" s="28" t="str">
        <f t="shared" si="3"/>
        <v>bloczki z betonu lekkiego</v>
      </c>
      <c r="C103"/>
      <c r="D103"/>
      <c r="E103"/>
      <c r="F103"/>
      <c r="G103"/>
      <c r="H103"/>
      <c r="I103"/>
      <c r="J103"/>
      <c r="K103"/>
    </row>
    <row r="104" spans="1:11" hidden="1">
      <c r="A104" s="28">
        <v>39</v>
      </c>
      <c r="B104" s="28" t="str">
        <f t="shared" si="3"/>
        <v>bloczki z betonu komórkowego</v>
      </c>
      <c r="C104"/>
      <c r="D104"/>
      <c r="E104"/>
      <c r="F104"/>
      <c r="G104"/>
      <c r="H104"/>
      <c r="I104"/>
      <c r="J104"/>
      <c r="K104"/>
    </row>
    <row r="105" spans="1:11" hidden="1">
      <c r="A105" s="28">
        <v>40</v>
      </c>
      <c r="B105" s="28" t="str">
        <f t="shared" si="3"/>
        <v>Zużycie</v>
      </c>
      <c r="C105"/>
      <c r="D105"/>
      <c r="E105"/>
      <c r="F105"/>
      <c r="G105"/>
      <c r="H105"/>
      <c r="I105"/>
      <c r="J105"/>
      <c r="K105"/>
    </row>
    <row r="106" spans="1:11" hidden="1">
      <c r="A106" s="28">
        <v>41</v>
      </c>
      <c r="B106" s="28" t="str">
        <f t="shared" si="3"/>
        <v>na</v>
      </c>
      <c r="C106"/>
      <c r="D106"/>
      <c r="E106"/>
      <c r="F106"/>
      <c r="G106"/>
      <c r="H106"/>
      <c r="I106"/>
      <c r="J106"/>
      <c r="K106"/>
    </row>
    <row r="107" spans="1:11" hidden="1">
      <c r="A107" s="28">
        <v>42</v>
      </c>
      <c r="B107" s="28" t="str">
        <f t="shared" si="3"/>
        <v>1m²</v>
      </c>
      <c r="C107"/>
      <c r="D107"/>
      <c r="E107"/>
      <c r="F107"/>
      <c r="G107"/>
      <c r="H107"/>
      <c r="I107"/>
      <c r="J107"/>
      <c r="K107"/>
    </row>
    <row r="108" spans="1:11" hidden="1">
      <c r="A108" s="28">
        <v>43</v>
      </c>
      <c r="B108" s="28" t="str">
        <f t="shared" si="3"/>
        <v>Jedn.</v>
      </c>
      <c r="C108"/>
      <c r="D108"/>
      <c r="E108"/>
      <c r="F108"/>
      <c r="G108"/>
      <c r="H108"/>
      <c r="I108"/>
      <c r="J108"/>
      <c r="K108"/>
    </row>
    <row r="109" spans="1:11" hidden="1">
      <c r="A109" s="28">
        <v>44</v>
      </c>
      <c r="B109" s="28" t="str">
        <f t="shared" si="3"/>
        <v>Cena</v>
      </c>
      <c r="C109"/>
      <c r="D109"/>
      <c r="E109"/>
      <c r="F109"/>
      <c r="G109"/>
      <c r="H109"/>
      <c r="I109"/>
      <c r="J109"/>
      <c r="K109"/>
    </row>
    <row r="110" spans="1:11" hidden="1">
      <c r="A110" s="28">
        <v>45</v>
      </c>
      <c r="B110" s="28" t="str">
        <f t="shared" si="3"/>
        <v>Rabaty</v>
      </c>
      <c r="C110"/>
      <c r="D110"/>
      <c r="E110"/>
      <c r="F110"/>
      <c r="G110"/>
      <c r="H110"/>
      <c r="I110"/>
      <c r="J110"/>
      <c r="K110"/>
    </row>
    <row r="111" spans="1:11" hidden="1">
      <c r="A111" s="28">
        <v>46</v>
      </c>
      <c r="B111" s="28" t="str">
        <f t="shared" si="3"/>
        <v>od pozycji</v>
      </c>
      <c r="C111"/>
      <c r="D111"/>
      <c r="E111"/>
      <c r="F111"/>
      <c r="G111"/>
      <c r="H111"/>
      <c r="I111"/>
      <c r="J111"/>
      <c r="K111"/>
    </row>
    <row r="112" spans="1:11" hidden="1">
      <c r="A112" s="28">
        <v>47</v>
      </c>
      <c r="B112" s="28" t="str">
        <f t="shared" si="3"/>
        <v>Materiały warstwy izolacyjno- zbrojeniowej</v>
      </c>
      <c r="C112"/>
      <c r="D112"/>
      <c r="E112"/>
      <c r="F112"/>
      <c r="G112"/>
      <c r="H112"/>
      <c r="I112"/>
      <c r="J112"/>
      <c r="K112"/>
    </row>
    <row r="113" spans="1:11" hidden="1">
      <c r="A113" s="28">
        <v>48</v>
      </c>
      <c r="B113" s="28" t="str">
        <f t="shared" si="3"/>
        <v>Klej do przyklejania płyt</v>
      </c>
      <c r="C113"/>
      <c r="D113"/>
      <c r="E113"/>
      <c r="F113"/>
      <c r="G113"/>
      <c r="H113"/>
      <c r="I113"/>
      <c r="J113"/>
      <c r="K113"/>
    </row>
    <row r="114" spans="1:11" hidden="1">
      <c r="A114" s="28">
        <v>49</v>
      </c>
      <c r="B114" s="28" t="str">
        <f t="shared" si="3"/>
        <v>Siatka zbrojąca</v>
      </c>
      <c r="C114"/>
      <c r="D114"/>
      <c r="E114"/>
      <c r="F114"/>
      <c r="G114"/>
      <c r="H114"/>
      <c r="I114"/>
      <c r="J114"/>
      <c r="K114"/>
    </row>
    <row r="115" spans="1:11" hidden="1">
      <c r="A115" s="28">
        <v>50</v>
      </c>
      <c r="B115" s="28" t="str">
        <f t="shared" si="3"/>
        <v>Klej do zatapiania siatki</v>
      </c>
      <c r="C115"/>
      <c r="D115"/>
      <c r="E115"/>
      <c r="F115"/>
      <c r="G115"/>
      <c r="H115"/>
      <c r="I115"/>
      <c r="J115"/>
      <c r="K115"/>
    </row>
    <row r="116" spans="1:11" hidden="1">
      <c r="A116" s="28">
        <v>51</v>
      </c>
      <c r="B116" s="28" t="str">
        <f t="shared" si="3"/>
        <v>Materiały wyprawy elewacyjnej</v>
      </c>
      <c r="C116"/>
      <c r="D116"/>
      <c r="E116"/>
      <c r="F116"/>
      <c r="G116"/>
      <c r="H116"/>
      <c r="I116"/>
      <c r="J116"/>
      <c r="K116"/>
    </row>
    <row r="117" spans="1:11" hidden="1">
      <c r="A117" s="28">
        <v>52</v>
      </c>
      <c r="B117" s="28" t="str">
        <f t="shared" si="3"/>
        <v>Tynk dekoracyjny</v>
      </c>
      <c r="C117"/>
      <c r="D117"/>
      <c r="E117"/>
      <c r="F117"/>
      <c r="G117"/>
      <c r="H117"/>
      <c r="I117"/>
      <c r="J117"/>
      <c r="K117"/>
    </row>
    <row r="118" spans="1:11" hidden="1">
      <c r="A118" s="28">
        <v>53</v>
      </c>
      <c r="B118" s="28" t="str">
        <f t="shared" si="3"/>
        <v>Dopłata do koloru tynku</v>
      </c>
      <c r="C118"/>
      <c r="D118"/>
      <c r="E118"/>
      <c r="F118"/>
      <c r="G118"/>
      <c r="H118"/>
      <c r="I118"/>
      <c r="J118"/>
      <c r="K118"/>
    </row>
    <row r="119" spans="1:11" hidden="1">
      <c r="A119" s="28">
        <v>54</v>
      </c>
      <c r="B119" s="28" t="str">
        <f t="shared" si="3"/>
        <v>Grunt podtynkowy</v>
      </c>
      <c r="C119"/>
      <c r="D119"/>
      <c r="E119"/>
      <c r="F119"/>
      <c r="G119"/>
      <c r="H119"/>
      <c r="I119"/>
      <c r="J119"/>
      <c r="K119"/>
    </row>
    <row r="120" spans="1:11" hidden="1">
      <c r="A120" s="28">
        <v>55</v>
      </c>
      <c r="B120" s="28" t="str">
        <f t="shared" si="3"/>
        <v>Dopłata do koloru gruntu</v>
      </c>
      <c r="C120"/>
      <c r="D120"/>
      <c r="E120"/>
      <c r="F120"/>
      <c r="G120"/>
      <c r="H120"/>
      <c r="I120"/>
      <c r="J120"/>
      <c r="K120"/>
    </row>
    <row r="121" spans="1:11" hidden="1">
      <c r="A121" s="28">
        <v>56</v>
      </c>
      <c r="B121" s="28" t="str">
        <f t="shared" si="3"/>
        <v>Farba elewacyjna</v>
      </c>
      <c r="C121"/>
      <c r="D121"/>
      <c r="E121"/>
      <c r="F121"/>
      <c r="G121"/>
      <c r="H121"/>
      <c r="I121"/>
      <c r="J121"/>
      <c r="K121"/>
    </row>
    <row r="122" spans="1:11" hidden="1">
      <c r="A122" s="28">
        <v>57</v>
      </c>
      <c r="B122" s="28" t="str">
        <f t="shared" si="3"/>
        <v>Dopłata do koloru farby</v>
      </c>
      <c r="C122"/>
      <c r="D122"/>
      <c r="E122"/>
      <c r="F122"/>
      <c r="G122"/>
      <c r="H122"/>
      <c r="I122"/>
      <c r="J122"/>
      <c r="K122"/>
    </row>
    <row r="123" spans="1:11" hidden="1">
      <c r="A123" s="28">
        <v>58</v>
      </c>
      <c r="B123" s="28" t="str">
        <f t="shared" si="3"/>
        <v>grupa I - kolory pastelowe (bez dopłaty)</v>
      </c>
      <c r="C123"/>
      <c r="D123"/>
      <c r="E123"/>
      <c r="F123"/>
      <c r="G123"/>
      <c r="H123"/>
      <c r="I123"/>
      <c r="J123"/>
      <c r="K123"/>
    </row>
    <row r="124" spans="1:11" hidden="1">
      <c r="A124" s="28">
        <v>59</v>
      </c>
      <c r="B124" s="28" t="str">
        <f t="shared" si="3"/>
        <v>grupa II - kolory średnio intensywne</v>
      </c>
      <c r="C124"/>
      <c r="D124"/>
      <c r="E124"/>
      <c r="F124"/>
      <c r="G124"/>
      <c r="H124"/>
      <c r="I124"/>
      <c r="J124"/>
      <c r="K124"/>
    </row>
    <row r="125" spans="1:11" hidden="1">
      <c r="A125" s="28">
        <v>60</v>
      </c>
      <c r="B125" s="28" t="str">
        <f t="shared" si="3"/>
        <v>grupa III - kolory ciemne i nasycone</v>
      </c>
      <c r="C125"/>
      <c r="D125"/>
      <c r="E125"/>
      <c r="F125"/>
      <c r="G125"/>
      <c r="H125"/>
      <c r="I125"/>
      <c r="J125"/>
      <c r="K125"/>
    </row>
    <row r="126" spans="1:11" hidden="1">
      <c r="A126" s="28">
        <v>61</v>
      </c>
      <c r="B126" s="28" t="str">
        <f t="shared" si="3"/>
        <v>grupa IV - wycena indywidualna</v>
      </c>
      <c r="C126"/>
      <c r="D126"/>
      <c r="E126"/>
      <c r="F126"/>
      <c r="G126"/>
      <c r="H126"/>
      <c r="I126"/>
      <c r="J126"/>
      <c r="K126"/>
    </row>
    <row r="127" spans="1:11" hidden="1">
      <c r="A127" s="28">
        <v>62</v>
      </c>
      <c r="B127" s="28" t="str">
        <f t="shared" si="3"/>
        <v>biały - bez dopłaty</v>
      </c>
      <c r="C127"/>
      <c r="D127"/>
      <c r="E127"/>
      <c r="F127"/>
      <c r="G127"/>
      <c r="H127"/>
      <c r="I127"/>
      <c r="J127"/>
      <c r="K127"/>
    </row>
    <row r="128" spans="1:11" hidden="1">
      <c r="A128" s="28">
        <v>63</v>
      </c>
      <c r="B128" s="28" t="str">
        <f t="shared" si="3"/>
        <v>grupa I - kolory pastelowe</v>
      </c>
      <c r="C128"/>
      <c r="D128"/>
      <c r="E128"/>
      <c r="F128"/>
      <c r="G128"/>
      <c r="H128"/>
      <c r="I128"/>
      <c r="J128"/>
      <c r="K128"/>
    </row>
    <row r="129" spans="1:11" hidden="1">
      <c r="A129" s="28">
        <v>64</v>
      </c>
      <c r="B129" s="28" t="str">
        <f t="shared" si="3"/>
        <v>grupa II - kolory średnio intensywne</v>
      </c>
      <c r="C129"/>
      <c r="D129"/>
      <c r="E129"/>
      <c r="F129"/>
      <c r="G129"/>
      <c r="H129"/>
      <c r="I129"/>
      <c r="J129"/>
      <c r="K129"/>
    </row>
    <row r="130" spans="1:11" hidden="1">
      <c r="A130" s="28">
        <v>65</v>
      </c>
      <c r="B130" s="28" t="str">
        <f t="shared" si="3"/>
        <v>grupa III - kolory ciemne i nasycone</v>
      </c>
      <c r="C130"/>
      <c r="D130"/>
      <c r="E130"/>
      <c r="F130"/>
      <c r="G130"/>
      <c r="H130"/>
      <c r="I130"/>
      <c r="J130"/>
      <c r="K130"/>
    </row>
    <row r="131" spans="1:11" hidden="1">
      <c r="A131" s="28">
        <v>66</v>
      </c>
      <c r="B131" s="28" t="str">
        <f t="shared" si="3"/>
        <v>grupa IV - wycena indywidualna</v>
      </c>
      <c r="C131"/>
      <c r="D131"/>
      <c r="E131"/>
      <c r="F131"/>
      <c r="G131"/>
      <c r="H131"/>
      <c r="I131"/>
      <c r="J131"/>
      <c r="K131"/>
    </row>
    <row r="132" spans="1:11" hidden="1">
      <c r="A132" s="28">
        <v>67</v>
      </c>
      <c r="B132" s="28" t="str">
        <f t="shared" ref="B132:B140" si="4">VLOOKUP(A132,opisy,$N$1+1,0)</f>
        <v>RAZEM:</v>
      </c>
      <c r="C132"/>
      <c r="D132"/>
      <c r="E132"/>
      <c r="F132"/>
      <c r="G132"/>
      <c r="H132"/>
      <c r="I132"/>
      <c r="J132"/>
      <c r="K132"/>
    </row>
    <row r="133" spans="1:11" hidden="1">
      <c r="A133" s="28">
        <v>68</v>
      </c>
      <c r="B133" s="28" t="str">
        <f t="shared" si="4"/>
        <v>RABAT NA SYSTEM:</v>
      </c>
      <c r="C133"/>
      <c r="D133"/>
      <c r="E133"/>
      <c r="F133"/>
      <c r="G133"/>
      <c r="H133"/>
      <c r="I133"/>
      <c r="J133"/>
      <c r="K133"/>
    </row>
    <row r="134" spans="1:11" hidden="1">
      <c r="A134" s="28">
        <v>69</v>
      </c>
      <c r="B134" s="28" t="str">
        <f t="shared" si="4"/>
        <v>RAZEM MATERIAŁY ALPOL Z RABATEM:</v>
      </c>
      <c r="C134"/>
      <c r="D134"/>
      <c r="E134"/>
      <c r="F134"/>
      <c r="G134"/>
      <c r="H134"/>
      <c r="I134"/>
      <c r="J134"/>
      <c r="K134"/>
    </row>
    <row r="135" spans="1:11" hidden="1">
      <c r="A135" s="28">
        <v>70</v>
      </c>
      <c r="B135" s="28" t="str">
        <f t="shared" si="4"/>
        <v>DYSTRYBUCJA:</v>
      </c>
      <c r="C135"/>
      <c r="D135"/>
      <c r="E135"/>
      <c r="F135"/>
      <c r="G135"/>
      <c r="H135"/>
      <c r="I135"/>
      <c r="J135"/>
      <c r="K135"/>
    </row>
    <row r="136" spans="1:11" hidden="1">
      <c r="A136" s="28">
        <v>71</v>
      </c>
      <c r="B136" s="28" t="str">
        <f t="shared" si="4"/>
        <v>Materiał izolacji termicznej</v>
      </c>
      <c r="C136"/>
      <c r="D136"/>
      <c r="E136"/>
      <c r="F136"/>
      <c r="G136"/>
      <c r="H136"/>
      <c r="I136"/>
      <c r="J136"/>
      <c r="K136"/>
    </row>
    <row r="137" spans="1:11" hidden="1">
      <c r="A137" s="28">
        <v>72</v>
      </c>
      <c r="B137" s="28" t="str">
        <f t="shared" si="4"/>
        <v>łączniki mechaniczne i materiały uzupełniające</v>
      </c>
      <c r="C137"/>
      <c r="D137"/>
      <c r="E137"/>
      <c r="F137"/>
      <c r="G137"/>
      <c r="H137"/>
      <c r="I137"/>
      <c r="J137"/>
      <c r="K137"/>
    </row>
    <row r="138" spans="1:11" hidden="1">
      <c r="A138" s="28">
        <v>73</v>
      </c>
      <c r="B138" s="28" t="str">
        <f t="shared" si="4"/>
        <v>Rabat</v>
      </c>
      <c r="C138"/>
      <c r="D138"/>
      <c r="E138"/>
      <c r="F138"/>
      <c r="G138"/>
      <c r="H138"/>
      <c r="I138"/>
      <c r="J138"/>
      <c r="K138"/>
    </row>
    <row r="139" spans="1:11" hidden="1">
      <c r="A139" s="28">
        <v>74</v>
      </c>
      <c r="B139" s="28" t="str">
        <f t="shared" si="4"/>
        <v>Izolacja termiczna</v>
      </c>
      <c r="C139"/>
      <c r="D139"/>
      <c r="E139"/>
      <c r="F139"/>
      <c r="G139"/>
      <c r="H139"/>
      <c r="I139"/>
      <c r="J139"/>
      <c r="K139"/>
    </row>
    <row r="140" spans="1:11" hidden="1">
      <c r="A140" s="28">
        <v>75</v>
      </c>
      <c r="B140" s="28" t="str">
        <f t="shared" si="4"/>
        <v>styropian fasadowy EPS 038÷042</v>
      </c>
      <c r="C140"/>
      <c r="D140"/>
      <c r="E140"/>
      <c r="F140"/>
      <c r="G140"/>
      <c r="H140"/>
      <c r="I140"/>
      <c r="J140"/>
      <c r="K140"/>
    </row>
    <row r="141" spans="1:11" hidden="1">
      <c r="A141" s="28">
        <v>76</v>
      </c>
      <c r="B141" s="28" t="str">
        <f t="shared" ref="B141" si="5">VLOOKUP(A141,opisy,$N$1+1,0)</f>
        <v>styropian fasadowy EPS 034÷037</v>
      </c>
      <c r="C141"/>
      <c r="D141"/>
      <c r="E141"/>
      <c r="F141"/>
      <c r="G141"/>
      <c r="H141"/>
      <c r="I141"/>
      <c r="J141"/>
      <c r="K141"/>
    </row>
    <row r="142" spans="1:11" hidden="1">
      <c r="A142" s="28">
        <v>77</v>
      </c>
      <c r="B142" s="28" t="str">
        <f t="shared" ref="B142" si="6">VLOOKUP(A142,opisy,$N$1+1,0)</f>
        <v>styropian grafitowy EPS 031÷033</v>
      </c>
      <c r="C142"/>
      <c r="D142"/>
      <c r="E142"/>
      <c r="F142"/>
      <c r="G142"/>
      <c r="H142"/>
      <c r="I142"/>
      <c r="J142"/>
      <c r="K142"/>
    </row>
    <row r="143" spans="1:11" hidden="1">
      <c r="A143" s="28">
        <v>78</v>
      </c>
      <c r="B143" s="28" t="str">
        <f>VLOOKUP(A143,opisy,$N$1+1,0)</f>
        <v>polistyren XPS 033÷038</v>
      </c>
      <c r="C143"/>
      <c r="D143"/>
      <c r="E143"/>
      <c r="F143"/>
      <c r="G143"/>
      <c r="H143"/>
      <c r="I143"/>
      <c r="J143"/>
      <c r="K143"/>
    </row>
    <row r="144" spans="1:11" hidden="1">
      <c r="A144" s="28">
        <v>79</v>
      </c>
      <c r="B144" s="28" t="str">
        <f t="shared" ref="B144:B218" si="7">VLOOKUP(A144,opisy,$N$1+1,0)</f>
        <v>grubości</v>
      </c>
      <c r="C144"/>
      <c r="D144"/>
      <c r="E144"/>
      <c r="F144"/>
      <c r="G144"/>
      <c r="H144"/>
      <c r="I144"/>
      <c r="J144"/>
      <c r="K144"/>
    </row>
    <row r="145" spans="1:11" hidden="1">
      <c r="A145" s="28">
        <v>80</v>
      </c>
      <c r="B145" s="28" t="str">
        <f t="shared" si="7"/>
        <v>Łączniki mechaniczne</v>
      </c>
      <c r="C145"/>
      <c r="D145"/>
      <c r="E145"/>
      <c r="F145"/>
      <c r="G145"/>
      <c r="H145"/>
      <c r="I145"/>
      <c r="J145"/>
      <c r="K145"/>
    </row>
    <row r="146" spans="1:11" hidden="1">
      <c r="A146" s="28">
        <v>81</v>
      </c>
      <c r="B146" s="28" t="str">
        <f t="shared" si="7"/>
        <v>łącznik z trzpieniem wbijanym lub wkręcanym</v>
      </c>
      <c r="C146"/>
      <c r="D146"/>
      <c r="E146"/>
      <c r="F146"/>
      <c r="G146"/>
      <c r="H146"/>
      <c r="I146"/>
      <c r="J146"/>
      <c r="K146"/>
    </row>
    <row r="147" spans="1:11" hidden="1">
      <c r="A147" s="28">
        <v>82</v>
      </c>
      <c r="B147" s="28" t="str">
        <f t="shared" si="7"/>
        <v>łącznik z trzpieniem wkręcanym</v>
      </c>
      <c r="C147"/>
      <c r="D147"/>
      <c r="E147"/>
      <c r="F147"/>
      <c r="G147"/>
      <c r="H147"/>
      <c r="I147"/>
      <c r="J147"/>
      <c r="K147"/>
    </row>
    <row r="148" spans="1:11" hidden="1">
      <c r="A148" s="28">
        <v>83</v>
      </c>
      <c r="B148" s="28" t="str">
        <f t="shared" si="7"/>
        <v xml:space="preserve"> - kat.</v>
      </c>
      <c r="C148"/>
      <c r="D148"/>
      <c r="E148"/>
      <c r="F148"/>
      <c r="G148"/>
      <c r="H148"/>
      <c r="I148"/>
      <c r="J148"/>
      <c r="K148"/>
    </row>
    <row r="149" spans="1:11" hidden="1">
      <c r="A149" s="28">
        <v>84</v>
      </c>
      <c r="B149" s="28" t="str">
        <f t="shared" si="7"/>
        <v>cm</v>
      </c>
      <c r="C149"/>
      <c r="D149"/>
      <c r="E149"/>
      <c r="F149"/>
      <c r="G149"/>
      <c r="H149"/>
      <c r="I149"/>
      <c r="J149"/>
      <c r="K149"/>
    </row>
    <row r="150" spans="1:11" hidden="1">
      <c r="A150" s="28">
        <v>85</v>
      </c>
      <c r="B150" s="28" t="str">
        <f t="shared" si="7"/>
        <v>Materiały uzupełniające</v>
      </c>
      <c r="C150"/>
      <c r="D150"/>
      <c r="E150"/>
      <c r="F150"/>
      <c r="G150"/>
      <c r="H150"/>
      <c r="I150"/>
      <c r="J150"/>
      <c r="K150"/>
    </row>
    <row r="151" spans="1:11" hidden="1">
      <c r="A151" s="28">
        <v>86</v>
      </c>
      <c r="B151" s="28" t="str">
        <f t="shared" si="7"/>
        <v>cena szacunkowa na 1 m² powierzchni ocieplenia</v>
      </c>
      <c r="C151"/>
      <c r="D151"/>
      <c r="E151"/>
      <c r="F151"/>
      <c r="G151"/>
      <c r="H151"/>
      <c r="I151"/>
      <c r="J151"/>
      <c r="K151"/>
    </row>
    <row r="152" spans="1:11" hidden="1">
      <c r="A152" s="28">
        <v>87</v>
      </c>
      <c r="B152" s="28" t="str">
        <f t="shared" si="7"/>
        <v>ZESTAWIENIE ILOŚCIOWO-WARTOŚCIOWE MATERIAŁÓW</v>
      </c>
      <c r="C152"/>
      <c r="D152"/>
      <c r="E152"/>
      <c r="F152"/>
      <c r="G152"/>
      <c r="H152"/>
      <c r="I152"/>
      <c r="J152"/>
      <c r="K152"/>
    </row>
    <row r="153" spans="1:11" hidden="1">
      <c r="A153" s="28">
        <v>88</v>
      </c>
      <c r="B153" s="28" t="str">
        <f t="shared" si="7"/>
        <v>ceny materiałów z rabatem, po przeliczeniu na pełne opakowania</v>
      </c>
      <c r="C153"/>
      <c r="D153"/>
      <c r="E153"/>
      <c r="F153"/>
      <c r="G153"/>
      <c r="H153"/>
      <c r="I153"/>
      <c r="J153"/>
      <c r="K153"/>
    </row>
    <row r="154" spans="1:11" hidden="1">
      <c r="A154" s="28">
        <v>89</v>
      </c>
      <c r="B154" s="28" t="str">
        <f t="shared" si="7"/>
        <v>Materiały na</v>
      </c>
      <c r="C154"/>
      <c r="D154"/>
      <c r="E154"/>
      <c r="F154"/>
      <c r="G154"/>
      <c r="H154"/>
      <c r="I154"/>
      <c r="J154"/>
      <c r="K154"/>
    </row>
    <row r="155" spans="1:11" hidden="1">
      <c r="A155" s="28">
        <v>90</v>
      </c>
      <c r="B155" s="28" t="str">
        <f t="shared" si="7"/>
        <v>m² powierzchni ocieplenia</v>
      </c>
      <c r="C155"/>
      <c r="D155"/>
      <c r="E155"/>
      <c r="F155"/>
      <c r="G155"/>
      <c r="H155"/>
      <c r="I155"/>
      <c r="J155"/>
      <c r="K155"/>
    </row>
    <row r="156" spans="1:11" hidden="1">
      <c r="A156" s="28">
        <v>91</v>
      </c>
      <c r="B156" s="28" t="str">
        <f t="shared" si="7"/>
        <v>ceny netto</v>
      </c>
      <c r="C156"/>
      <c r="D156"/>
      <c r="E156"/>
      <c r="F156"/>
      <c r="G156"/>
      <c r="H156"/>
      <c r="I156"/>
      <c r="J156"/>
      <c r="K156"/>
    </row>
    <row r="157" spans="1:11" hidden="1">
      <c r="A157" s="28">
        <v>92</v>
      </c>
      <c r="B157" s="28" t="str">
        <f t="shared" si="7"/>
        <v>ceny brutto</v>
      </c>
      <c r="C157"/>
      <c r="D157"/>
      <c r="E157"/>
      <c r="F157"/>
      <c r="G157"/>
      <c r="H157"/>
      <c r="I157"/>
      <c r="J157"/>
      <c r="K157"/>
    </row>
    <row r="158" spans="1:11" hidden="1">
      <c r="A158" s="28">
        <v>93</v>
      </c>
      <c r="B158" s="28" t="str">
        <f t="shared" si="7"/>
        <v>Jedn.</v>
      </c>
      <c r="C158"/>
      <c r="D158"/>
      <c r="E158"/>
      <c r="F158"/>
      <c r="G158"/>
      <c r="H158"/>
      <c r="I158"/>
      <c r="J158"/>
      <c r="K158"/>
    </row>
    <row r="159" spans="1:11" hidden="1">
      <c r="A159" s="28">
        <v>94</v>
      </c>
      <c r="B159" s="28" t="str">
        <f t="shared" si="7"/>
        <v>Ilość</v>
      </c>
      <c r="C159"/>
      <c r="D159"/>
      <c r="E159"/>
      <c r="F159"/>
      <c r="G159"/>
      <c r="H159"/>
      <c r="I159"/>
      <c r="J159"/>
      <c r="K159"/>
    </row>
    <row r="160" spans="1:11" hidden="1">
      <c r="A160" s="28">
        <v>95</v>
      </c>
      <c r="B160" s="28" t="str">
        <f t="shared" si="7"/>
        <v>Cena</v>
      </c>
      <c r="C160"/>
      <c r="D160"/>
      <c r="E160"/>
      <c r="F160"/>
      <c r="G160"/>
      <c r="H160"/>
      <c r="I160"/>
      <c r="J160"/>
      <c r="K160"/>
    </row>
    <row r="161" spans="1:11" hidden="1">
      <c r="A161" s="28">
        <v>96</v>
      </c>
      <c r="B161" s="28" t="str">
        <f t="shared" si="7"/>
        <v>Wartość</v>
      </c>
      <c r="C161"/>
      <c r="D161"/>
      <c r="E161"/>
      <c r="F161"/>
      <c r="G161"/>
      <c r="H161"/>
      <c r="I161"/>
      <c r="J161"/>
      <c r="K161"/>
    </row>
    <row r="162" spans="1:11" hidden="1">
      <c r="A162" s="28">
        <v>97</v>
      </c>
      <c r="B162" s="28" t="str">
        <f t="shared" si="7"/>
        <v>wartość szacunkowa na</v>
      </c>
      <c r="C162"/>
      <c r="D162"/>
      <c r="E162"/>
      <c r="F162"/>
      <c r="G162"/>
      <c r="H162"/>
      <c r="I162"/>
      <c r="J162"/>
      <c r="K162"/>
    </row>
    <row r="163" spans="1:11" hidden="1">
      <c r="A163" s="28">
        <v>98</v>
      </c>
      <c r="B163" s="28" t="str">
        <f t="shared" si="7"/>
        <v>m² pow. ocieplenia</v>
      </c>
      <c r="C163"/>
      <c r="D163"/>
      <c r="E163"/>
      <c r="F163"/>
      <c r="G163"/>
      <c r="H163"/>
      <c r="I163"/>
      <c r="J163"/>
      <c r="K163"/>
    </row>
    <row r="164" spans="1:11" hidden="1">
      <c r="A164" s="28">
        <v>99</v>
      </c>
      <c r="B164" s="28" t="str">
        <f t="shared" si="7"/>
        <v>Uwaga: Kalkulacja nie uwzględnia dopłat</v>
      </c>
      <c r="C164"/>
      <c r="D164"/>
      <c r="E164"/>
      <c r="F164"/>
      <c r="G164"/>
      <c r="H164"/>
      <c r="I164"/>
      <c r="J164"/>
      <c r="K164"/>
    </row>
    <row r="165" spans="1:11" hidden="1">
      <c r="A165" s="28">
        <v>100</v>
      </c>
      <c r="B165" s="28" t="str">
        <f t="shared" si="7"/>
        <v>do tynków, gruntów i farb w kolorach grupy IV</v>
      </c>
      <c r="C165"/>
      <c r="D165"/>
      <c r="E165"/>
      <c r="F165"/>
      <c r="G165"/>
      <c r="H165"/>
      <c r="I165"/>
      <c r="J165"/>
      <c r="K165"/>
    </row>
    <row r="166" spans="1:11" hidden="1">
      <c r="A166" s="28">
        <v>101</v>
      </c>
      <c r="B166" s="28" t="str">
        <f t="shared" si="7"/>
        <v>Nazwa produktu ALPOL</v>
      </c>
      <c r="C166"/>
      <c r="D166"/>
      <c r="E166"/>
      <c r="F166"/>
      <c r="G166"/>
      <c r="H166"/>
      <c r="I166"/>
      <c r="J166"/>
      <c r="K166"/>
    </row>
    <row r="167" spans="1:11" hidden="1">
      <c r="A167" s="28">
        <v>102</v>
      </c>
      <c r="B167" s="28" t="str">
        <f t="shared" si="7"/>
        <v>- bez farby</v>
      </c>
      <c r="C167"/>
      <c r="D167"/>
      <c r="E167"/>
      <c r="F167"/>
      <c r="G167"/>
      <c r="H167"/>
      <c r="I167"/>
      <c r="J167"/>
      <c r="K167"/>
    </row>
    <row r="168" spans="1:11" hidden="1">
      <c r="A168" s="28">
        <v>103</v>
      </c>
      <c r="B168" s="28" t="str">
        <f t="shared" si="7"/>
        <v>AF 640 - farba elewacyjna akrylowa</v>
      </c>
      <c r="C168"/>
      <c r="D168"/>
      <c r="E168"/>
      <c r="F168"/>
      <c r="G168"/>
      <c r="H168"/>
      <c r="I168"/>
      <c r="J168"/>
      <c r="K168"/>
    </row>
    <row r="169" spans="1:11" hidden="1">
      <c r="A169" s="28">
        <v>104</v>
      </c>
      <c r="B169" s="28" t="str">
        <f t="shared" si="7"/>
        <v>AF 660 - farba elewacyjna silikatowa</v>
      </c>
      <c r="C169"/>
      <c r="D169"/>
      <c r="E169"/>
      <c r="F169"/>
      <c r="G169"/>
      <c r="H169"/>
      <c r="I169"/>
      <c r="J169"/>
      <c r="K169"/>
    </row>
    <row r="170" spans="1:11" hidden="1">
      <c r="A170" s="28">
        <v>105</v>
      </c>
      <c r="B170" s="28" t="str">
        <f t="shared" si="7"/>
        <v>AF 680 - farba elewacyjna silikonowa</v>
      </c>
      <c r="C170"/>
      <c r="D170"/>
      <c r="E170"/>
      <c r="F170"/>
      <c r="G170"/>
      <c r="H170"/>
      <c r="I170"/>
      <c r="J170"/>
      <c r="K170"/>
    </row>
    <row r="171" spans="1:11" hidden="1">
      <c r="A171" s="28">
        <v>106</v>
      </c>
      <c r="B171" s="28" t="str">
        <f t="shared" si="7"/>
        <v>AF 685 - farba silikonowa elastyczna</v>
      </c>
      <c r="C171"/>
      <c r="D171"/>
      <c r="E171"/>
      <c r="F171"/>
      <c r="G171"/>
      <c r="H171"/>
      <c r="I171"/>
      <c r="J171"/>
      <c r="K171"/>
    </row>
    <row r="172" spans="1:11" hidden="1">
      <c r="A172" s="28">
        <v>107</v>
      </c>
      <c r="B172" s="28" t="str">
        <f t="shared" si="7"/>
        <v>AI 785 - impregnat koloryzujący</v>
      </c>
      <c r="C172"/>
      <c r="D172"/>
      <c r="E172"/>
      <c r="F172"/>
      <c r="G172"/>
      <c r="H172"/>
      <c r="I172"/>
      <c r="J172"/>
      <c r="K172"/>
    </row>
    <row r="173" spans="1:11" hidden="1">
      <c r="A173" s="28">
        <v>108</v>
      </c>
      <c r="B173" s="28" t="str">
        <f t="shared" si="7"/>
        <v>AG 701 - grunt pod tynki mineralne i silikonowe</v>
      </c>
      <c r="C173"/>
      <c r="D173"/>
      <c r="E173"/>
      <c r="F173"/>
      <c r="G173"/>
      <c r="H173"/>
      <c r="I173"/>
      <c r="J173"/>
      <c r="K173"/>
    </row>
    <row r="174" spans="1:11" hidden="1">
      <c r="A174" s="28">
        <v>109</v>
      </c>
      <c r="B174" s="28" t="str">
        <f t="shared" si="7"/>
        <v>AG 705 - grunt pod tynki akrylowe</v>
      </c>
      <c r="C174"/>
      <c r="D174"/>
      <c r="E174"/>
      <c r="F174"/>
      <c r="G174"/>
      <c r="H174"/>
      <c r="I174"/>
      <c r="J174"/>
      <c r="K174"/>
    </row>
    <row r="175" spans="1:11" hidden="1">
      <c r="A175" s="28">
        <v>110</v>
      </c>
      <c r="B175" s="28" t="str">
        <f t="shared" si="7"/>
        <v>AG 706 - grunt pod tynki krzemianowe</v>
      </c>
      <c r="C175"/>
      <c r="D175"/>
      <c r="E175"/>
      <c r="F175"/>
      <c r="G175"/>
      <c r="H175"/>
      <c r="I175"/>
      <c r="J175"/>
      <c r="K175"/>
    </row>
    <row r="176" spans="1:11" hidden="1">
      <c r="A176" s="28">
        <v>111</v>
      </c>
      <c r="B176" s="28" t="str">
        <f t="shared" si="7"/>
        <v>AK 525 - klej do styropianu STANDARD</v>
      </c>
      <c r="C176"/>
      <c r="D176"/>
      <c r="E176"/>
      <c r="F176"/>
      <c r="G176"/>
      <c r="H176"/>
      <c r="I176"/>
      <c r="J176"/>
      <c r="K176"/>
    </row>
    <row r="177" spans="1:11" hidden="1">
      <c r="A177" s="28">
        <v>112</v>
      </c>
      <c r="B177" s="28" t="str">
        <f t="shared" si="7"/>
        <v>AK 527 - klej do ociepleń na styropianie STANDARD</v>
      </c>
      <c r="C177"/>
      <c r="D177"/>
      <c r="E177"/>
      <c r="F177"/>
      <c r="G177"/>
      <c r="H177"/>
      <c r="I177"/>
      <c r="J177"/>
      <c r="K177"/>
    </row>
    <row r="178" spans="1:11" hidden="1">
      <c r="A178" s="28">
        <v>113</v>
      </c>
      <c r="B178" s="28" t="str">
        <f t="shared" si="7"/>
        <v>AK 530 - klej do styropianu PREMIUM</v>
      </c>
      <c r="C178"/>
      <c r="D178"/>
      <c r="E178"/>
      <c r="F178"/>
      <c r="G178"/>
      <c r="H178"/>
      <c r="I178"/>
      <c r="J178"/>
      <c r="K178"/>
    </row>
    <row r="179" spans="1:11" hidden="1">
      <c r="A179" s="28">
        <v>114</v>
      </c>
      <c r="B179" s="28" t="str">
        <f t="shared" si="7"/>
        <v>AK 531 - klej do ociepleń BIAŁY</v>
      </c>
      <c r="C179"/>
      <c r="D179"/>
      <c r="E179"/>
      <c r="F179"/>
      <c r="G179"/>
      <c r="H179"/>
      <c r="I179"/>
      <c r="J179"/>
      <c r="K179"/>
    </row>
    <row r="180" spans="1:11" hidden="1">
      <c r="A180" s="28">
        <v>115</v>
      </c>
      <c r="B180" s="28" t="str">
        <f t="shared" si="7"/>
        <v>AK 532 - klej do ociepleń PREMIUM</v>
      </c>
      <c r="C180"/>
      <c r="D180"/>
      <c r="E180"/>
      <c r="F180"/>
      <c r="G180"/>
      <c r="H180"/>
      <c r="I180"/>
      <c r="J180"/>
      <c r="K180"/>
    </row>
    <row r="181" spans="1:11" hidden="1">
      <c r="A181" s="28">
        <v>116</v>
      </c>
      <c r="B181" s="28" t="str">
        <f t="shared" si="7"/>
        <v>AK 534 - klej do ociepleń ZIMOWY</v>
      </c>
      <c r="C181"/>
      <c r="D181"/>
      <c r="E181"/>
      <c r="F181"/>
      <c r="G181"/>
      <c r="H181"/>
      <c r="I181"/>
      <c r="J181"/>
      <c r="K181"/>
    </row>
    <row r="182" spans="1:11" hidden="1">
      <c r="A182" s="28">
        <v>117</v>
      </c>
      <c r="B182" s="28" t="str">
        <f t="shared" si="7"/>
        <v>AH 741 - bitumiczna masa uszczelniająca</v>
      </c>
      <c r="C182"/>
      <c r="D182"/>
      <c r="E182"/>
      <c r="F182"/>
      <c r="G182"/>
      <c r="H182"/>
      <c r="I182"/>
      <c r="J182"/>
      <c r="K182"/>
    </row>
    <row r="183" spans="1:11" hidden="1">
      <c r="A183" s="28">
        <v>118</v>
      </c>
      <c r="B183" s="28" t="str">
        <f t="shared" si="7"/>
        <v>AT 319 - tynk mineralny modelowany biały</v>
      </c>
      <c r="C183"/>
      <c r="D183"/>
      <c r="E183"/>
      <c r="F183"/>
      <c r="G183"/>
      <c r="H183"/>
      <c r="I183"/>
      <c r="J183"/>
      <c r="K183"/>
    </row>
    <row r="184" spans="1:11" hidden="1">
      <c r="A184" s="28">
        <v>119</v>
      </c>
      <c r="B184" s="28" t="str">
        <f t="shared" si="7"/>
        <v>AT 320 - tynk mineralny biały baranek 1,5 mm</v>
      </c>
      <c r="C184"/>
      <c r="D184"/>
      <c r="E184"/>
      <c r="F184"/>
      <c r="G184"/>
      <c r="H184"/>
      <c r="I184"/>
      <c r="J184"/>
      <c r="K184"/>
    </row>
    <row r="185" spans="1:11" hidden="1">
      <c r="A185" s="28">
        <v>120</v>
      </c>
      <c r="B185" s="28" t="str">
        <f t="shared" si="7"/>
        <v>AT 320 - tynk mineralny biały baranek 2 mm</v>
      </c>
      <c r="C185"/>
      <c r="D185"/>
      <c r="E185"/>
      <c r="F185"/>
      <c r="G185"/>
      <c r="H185"/>
      <c r="I185"/>
      <c r="J185"/>
      <c r="K185"/>
    </row>
    <row r="186" spans="1:11" hidden="1">
      <c r="A186" s="28">
        <v>121</v>
      </c>
      <c r="B186" s="28" t="str">
        <f t="shared" si="7"/>
        <v>AT 321 - tynk mineralny biały kornik 2 mm</v>
      </c>
      <c r="C186"/>
      <c r="D186"/>
      <c r="E186"/>
      <c r="F186"/>
      <c r="G186"/>
      <c r="H186"/>
      <c r="I186"/>
      <c r="J186"/>
      <c r="K186"/>
    </row>
    <row r="187" spans="1:11" hidden="1">
      <c r="A187" s="28">
        <v>122</v>
      </c>
      <c r="B187" s="28" t="str">
        <f t="shared" si="7"/>
        <v>AT 325 - tynk mineralny extra biały baranek 1,5 mm</v>
      </c>
      <c r="C187"/>
      <c r="D187"/>
      <c r="E187"/>
      <c r="F187"/>
      <c r="G187"/>
      <c r="H187"/>
      <c r="I187"/>
      <c r="J187"/>
      <c r="K187"/>
    </row>
    <row r="188" spans="1:11" hidden="1">
      <c r="A188" s="28">
        <v>123</v>
      </c>
      <c r="B188" s="28" t="str">
        <f t="shared" si="7"/>
        <v>AT 326 - tynk mineralny extra biały baranek 2 mm</v>
      </c>
      <c r="C188"/>
      <c r="D188"/>
      <c r="E188"/>
      <c r="F188"/>
      <c r="G188"/>
      <c r="H188"/>
      <c r="I188"/>
      <c r="J188"/>
      <c r="K188"/>
    </row>
    <row r="189" spans="1:11" hidden="1">
      <c r="A189" s="28">
        <v>124</v>
      </c>
      <c r="B189" s="28" t="str">
        <f t="shared" si="7"/>
        <v>AT 327 - tynk mineralny extra biały baranek 2,5 mm</v>
      </c>
      <c r="C189"/>
      <c r="D189"/>
      <c r="E189"/>
      <c r="F189"/>
      <c r="G189"/>
      <c r="H189"/>
      <c r="I189"/>
      <c r="J189"/>
      <c r="K189"/>
    </row>
    <row r="190" spans="1:11" hidden="1">
      <c r="A190" s="28">
        <v>125</v>
      </c>
      <c r="B190" s="28" t="str">
        <f t="shared" si="7"/>
        <v>AT 330 - tynk mineralny szary baranek 1,5 mm</v>
      </c>
      <c r="C190"/>
      <c r="D190"/>
      <c r="E190"/>
      <c r="F190"/>
      <c r="G190"/>
      <c r="H190"/>
      <c r="I190"/>
      <c r="J190"/>
      <c r="K190"/>
    </row>
    <row r="191" spans="1:11" hidden="1">
      <c r="A191" s="28">
        <v>126</v>
      </c>
      <c r="B191" s="28" t="str">
        <f t="shared" si="7"/>
        <v>AT 330 - tynk mineralny szary baranek 2 mm</v>
      </c>
      <c r="C191"/>
      <c r="D191"/>
      <c r="E191"/>
      <c r="F191"/>
      <c r="G191"/>
      <c r="H191"/>
      <c r="I191"/>
      <c r="J191"/>
      <c r="K191"/>
    </row>
    <row r="192" spans="1:11" hidden="1">
      <c r="A192" s="28">
        <v>127</v>
      </c>
      <c r="B192" s="28" t="str">
        <f t="shared" si="7"/>
        <v>AT 336 - tynk mineralny extra, szary baranek 2 mm</v>
      </c>
      <c r="C192"/>
      <c r="D192"/>
      <c r="E192"/>
      <c r="F192"/>
      <c r="G192"/>
      <c r="H192"/>
      <c r="I192"/>
      <c r="J192"/>
      <c r="K192"/>
    </row>
    <row r="193" spans="1:11" hidden="1">
      <c r="A193" s="28">
        <v>128</v>
      </c>
      <c r="B193" s="28" t="str">
        <f t="shared" si="7"/>
        <v>AT 350 - tynk akrylowy baranek 1 mm</v>
      </c>
      <c r="C193"/>
      <c r="D193"/>
      <c r="E193"/>
      <c r="F193"/>
      <c r="G193"/>
      <c r="H193"/>
      <c r="I193"/>
      <c r="J193"/>
      <c r="K193"/>
    </row>
    <row r="194" spans="1:11" hidden="1">
      <c r="A194" s="28">
        <v>129</v>
      </c>
      <c r="B194" s="28" t="str">
        <f t="shared" si="7"/>
        <v>AT 351 - tynk akrylowy baranek 1,5 mm</v>
      </c>
      <c r="C194"/>
      <c r="D194"/>
      <c r="E194"/>
      <c r="F194"/>
      <c r="G194"/>
      <c r="H194"/>
      <c r="I194"/>
      <c r="J194"/>
      <c r="K194"/>
    </row>
    <row r="195" spans="1:11" hidden="1">
      <c r="A195" s="28">
        <v>130</v>
      </c>
      <c r="B195" s="28" t="str">
        <f t="shared" si="7"/>
        <v>AT 352 - tynk akrylowy baranek 2 mm</v>
      </c>
      <c r="C195"/>
      <c r="D195"/>
      <c r="E195"/>
      <c r="F195"/>
      <c r="G195"/>
      <c r="H195"/>
      <c r="I195"/>
      <c r="J195"/>
      <c r="K195"/>
    </row>
    <row r="196" spans="1:11" hidden="1">
      <c r="A196" s="28">
        <v>131</v>
      </c>
      <c r="B196" s="28" t="str">
        <f t="shared" si="7"/>
        <v>AT 357 - tynk akrylowy kornik 2 mm</v>
      </c>
      <c r="C196"/>
      <c r="D196"/>
      <c r="E196"/>
      <c r="F196"/>
      <c r="G196"/>
      <c r="H196"/>
      <c r="I196"/>
      <c r="J196"/>
      <c r="K196"/>
    </row>
    <row r="197" spans="1:11" hidden="1">
      <c r="A197" s="28">
        <v>132</v>
      </c>
      <c r="B197" s="28" t="str">
        <f t="shared" si="7"/>
        <v>AT 360 - tynk silikonowy baranek 1 mm</v>
      </c>
      <c r="C197"/>
      <c r="D197"/>
      <c r="E197"/>
      <c r="F197"/>
      <c r="G197"/>
      <c r="H197"/>
      <c r="I197"/>
      <c r="J197"/>
      <c r="K197"/>
    </row>
    <row r="198" spans="1:11" hidden="1">
      <c r="A198" s="28">
        <v>133</v>
      </c>
      <c r="B198" s="28" t="str">
        <f t="shared" si="7"/>
        <v>AT 361 - tynk silikonowy baranek 1,5 mm</v>
      </c>
      <c r="C198"/>
      <c r="D198"/>
      <c r="E198"/>
      <c r="F198"/>
      <c r="G198"/>
      <c r="H198"/>
      <c r="I198"/>
      <c r="J198"/>
      <c r="K198"/>
    </row>
    <row r="199" spans="1:11" hidden="1">
      <c r="A199" s="28">
        <v>134</v>
      </c>
      <c r="B199" s="28" t="str">
        <f t="shared" si="7"/>
        <v>AT 362 - tynk silikonowy baranek 2 mm</v>
      </c>
      <c r="C199"/>
      <c r="D199"/>
      <c r="E199"/>
      <c r="F199"/>
      <c r="G199"/>
      <c r="H199"/>
      <c r="I199"/>
      <c r="J199"/>
      <c r="K199"/>
    </row>
    <row r="200" spans="1:11" hidden="1">
      <c r="A200" s="28">
        <v>135</v>
      </c>
      <c r="B200" s="28" t="str">
        <f t="shared" si="7"/>
        <v>AT 367 - tynk silikonowy kornik 2 mm</v>
      </c>
      <c r="C200"/>
      <c r="D200"/>
      <c r="E200"/>
      <c r="F200"/>
      <c r="G200"/>
      <c r="H200"/>
      <c r="I200"/>
      <c r="J200"/>
      <c r="K200"/>
    </row>
    <row r="201" spans="1:11" hidden="1">
      <c r="A201" s="28">
        <v>136</v>
      </c>
      <c r="B201" s="28" t="str">
        <f t="shared" si="7"/>
        <v>AT 370 - tynk silikatowo-silikonowy baranek 1 mm</v>
      </c>
      <c r="C201"/>
      <c r="D201"/>
      <c r="E201"/>
      <c r="F201"/>
      <c r="G201"/>
      <c r="H201"/>
      <c r="I201"/>
      <c r="J201"/>
      <c r="K201"/>
    </row>
    <row r="202" spans="1:11" hidden="1">
      <c r="A202" s="28">
        <v>137</v>
      </c>
      <c r="B202" s="28" t="str">
        <f t="shared" si="7"/>
        <v>AT 371 - tynk silikatowo-silikonowy baranek 1,5 mm</v>
      </c>
      <c r="C202"/>
      <c r="D202"/>
      <c r="E202"/>
      <c r="F202"/>
      <c r="G202"/>
      <c r="H202"/>
      <c r="I202"/>
      <c r="J202"/>
      <c r="K202"/>
    </row>
    <row r="203" spans="1:11" hidden="1">
      <c r="A203" s="28">
        <v>138</v>
      </c>
      <c r="B203" s="28" t="str">
        <f t="shared" si="7"/>
        <v>AT 372 - tynk silikatowo-silikonowy baranek 2 mm</v>
      </c>
      <c r="C203"/>
      <c r="D203"/>
      <c r="E203"/>
      <c r="F203"/>
      <c r="G203"/>
      <c r="H203"/>
      <c r="I203"/>
      <c r="J203"/>
      <c r="K203"/>
    </row>
    <row r="204" spans="1:11" hidden="1">
      <c r="A204" s="28">
        <v>139</v>
      </c>
      <c r="B204" s="28" t="str">
        <f t="shared" si="7"/>
        <v>AT 377 - tynk silikatowo-silikonowy kornik 2 mm</v>
      </c>
      <c r="C204"/>
      <c r="D204"/>
      <c r="E204"/>
      <c r="F204"/>
      <c r="G204"/>
      <c r="H204"/>
      <c r="I204"/>
      <c r="J204"/>
      <c r="K204"/>
    </row>
    <row r="205" spans="1:11" hidden="1">
      <c r="A205" s="28">
        <v>140</v>
      </c>
      <c r="B205" s="28" t="str">
        <f t="shared" si="7"/>
        <v>AT 380 - tynk nanosilikonowy baranek 1 mm</v>
      </c>
      <c r="C205"/>
      <c r="D205"/>
      <c r="E205"/>
      <c r="F205"/>
      <c r="G205"/>
      <c r="H205"/>
      <c r="I205"/>
      <c r="J205"/>
      <c r="K205"/>
    </row>
    <row r="206" spans="1:11" hidden="1">
      <c r="A206" s="28">
        <v>141</v>
      </c>
      <c r="B206" s="28" t="str">
        <f t="shared" si="7"/>
        <v>AT 381 - tynk nanosilikonowy baranek 1,5 mm</v>
      </c>
      <c r="C206"/>
      <c r="D206"/>
      <c r="E206"/>
      <c r="F206"/>
      <c r="G206"/>
      <c r="H206"/>
      <c r="I206"/>
      <c r="J206"/>
      <c r="K206"/>
    </row>
    <row r="207" spans="1:11" hidden="1">
      <c r="A207" s="28">
        <v>142</v>
      </c>
      <c r="B207" s="28" t="str">
        <f t="shared" si="7"/>
        <v>AT 382 - tynk nanosilikonowy baranek 2 mm</v>
      </c>
      <c r="C207"/>
      <c r="D207"/>
      <c r="E207"/>
      <c r="F207"/>
      <c r="G207"/>
      <c r="H207"/>
      <c r="I207"/>
      <c r="J207"/>
      <c r="K207"/>
    </row>
    <row r="208" spans="1:11" hidden="1">
      <c r="A208" s="28">
        <v>143</v>
      </c>
      <c r="B208" s="28" t="str">
        <f t="shared" si="7"/>
        <v>AT 387 - tynk nanosilikonowy kornik 2 mm</v>
      </c>
      <c r="C208"/>
      <c r="D208"/>
      <c r="E208"/>
      <c r="F208"/>
      <c r="G208"/>
      <c r="H208"/>
      <c r="I208"/>
      <c r="J208"/>
      <c r="K208"/>
    </row>
    <row r="209" spans="1:11" hidden="1">
      <c r="A209" s="28">
        <v>144</v>
      </c>
      <c r="B209" s="28" t="str">
        <f t="shared" si="7"/>
        <v>AT 390 - tynk mozaikowy naturalny SKIATOS</v>
      </c>
      <c r="C209"/>
      <c r="D209"/>
      <c r="E209"/>
      <c r="F209"/>
      <c r="G209"/>
      <c r="H209"/>
      <c r="I209"/>
      <c r="J209"/>
      <c r="K209"/>
    </row>
    <row r="210" spans="1:11" hidden="1">
      <c r="A210" s="28">
        <v>145</v>
      </c>
      <c r="B210" s="28" t="str">
        <f t="shared" si="7"/>
        <v>AT 391 - tynk mozaikowy naturalny MILOS, KOMODO</v>
      </c>
      <c r="C210"/>
      <c r="D210"/>
      <c r="E210"/>
      <c r="F210"/>
      <c r="G210"/>
      <c r="H210"/>
      <c r="I210"/>
      <c r="J210"/>
      <c r="K210"/>
    </row>
    <row r="211" spans="1:11" hidden="1">
      <c r="A211" s="28">
        <v>146</v>
      </c>
      <c r="B211" s="28" t="str">
        <f t="shared" si="7"/>
        <v>AT 397 - tynk mozaikowy barwiony 2,5 mm</v>
      </c>
      <c r="C211"/>
      <c r="D211"/>
      <c r="E211"/>
      <c r="F211"/>
      <c r="G211"/>
      <c r="H211"/>
      <c r="I211"/>
      <c r="J211"/>
      <c r="K211"/>
    </row>
    <row r="212" spans="1:11" hidden="1">
      <c r="A212" s="28">
        <v>147</v>
      </c>
      <c r="B212" s="28" t="str">
        <f t="shared" si="7"/>
        <v>AT 397 - tynk mozaikowy barwiony EXPRESS</v>
      </c>
      <c r="C212"/>
      <c r="D212"/>
      <c r="E212"/>
      <c r="F212"/>
      <c r="G212"/>
      <c r="H212"/>
      <c r="I212"/>
      <c r="J212"/>
      <c r="K212"/>
    </row>
    <row r="213" spans="1:11" hidden="1">
      <c r="A213" s="28">
        <v>148</v>
      </c>
      <c r="B213" s="28" t="str">
        <f t="shared" si="7"/>
        <v>AT 398 - tynk moazikowy dekoracyjny CREATIVO</v>
      </c>
      <c r="C213"/>
      <c r="D213"/>
      <c r="E213"/>
      <c r="F213"/>
      <c r="G213"/>
      <c r="H213"/>
      <c r="I213"/>
      <c r="J213"/>
      <c r="K213"/>
    </row>
    <row r="214" spans="1:11" hidden="1">
      <c r="A214" s="28">
        <v>149</v>
      </c>
      <c r="B214" s="28" t="str">
        <f t="shared" si="7"/>
        <v>SW 145 - siatka z włókna szklanego</v>
      </c>
      <c r="C214"/>
      <c r="D214"/>
      <c r="E214"/>
      <c r="F214"/>
      <c r="G214"/>
      <c r="H214"/>
      <c r="I214"/>
      <c r="J214"/>
      <c r="K214"/>
    </row>
    <row r="215" spans="1:11" hidden="1">
      <c r="A215" s="28">
        <v>150</v>
      </c>
      <c r="B215" s="28" t="str">
        <f t="shared" si="7"/>
        <v>SW 160 - siatka z włókna szklanego</v>
      </c>
      <c r="C215"/>
      <c r="D215"/>
      <c r="E215"/>
      <c r="F215"/>
      <c r="G215"/>
      <c r="H215"/>
      <c r="I215"/>
      <c r="J215"/>
      <c r="K215"/>
    </row>
    <row r="216" spans="1:11" hidden="1">
      <c r="A216" s="28">
        <v>151</v>
      </c>
      <c r="B216" s="28" t="str">
        <f t="shared" si="7"/>
        <v>tynki    grunty   farby   grupa IV</v>
      </c>
      <c r="C216"/>
      <c r="D216"/>
      <c r="E216"/>
      <c r="F216"/>
      <c r="G216"/>
      <c r="H216"/>
      <c r="I216"/>
      <c r="J216"/>
      <c r="K216"/>
    </row>
    <row r="217" spans="1:11" hidden="1">
      <c r="A217" s="28">
        <v>152</v>
      </c>
      <c r="B217" s="28" t="str">
        <f t="shared" si="7"/>
        <v>Opakowanie</v>
      </c>
      <c r="C217"/>
      <c r="D217"/>
      <c r="E217"/>
      <c r="F217"/>
      <c r="G217"/>
      <c r="H217"/>
      <c r="I217"/>
      <c r="J217"/>
      <c r="K217"/>
    </row>
    <row r="218" spans="1:11" hidden="1">
      <c r="A218" s="28">
        <v>153</v>
      </c>
      <c r="B218" s="28" t="str">
        <f t="shared" si="7"/>
        <v>szt.</v>
      </c>
      <c r="C218"/>
      <c r="D218"/>
      <c r="E218"/>
      <c r="F218"/>
      <c r="G218"/>
      <c r="H218"/>
      <c r="I218"/>
      <c r="J218"/>
      <c r="K218"/>
    </row>
    <row r="219" spans="1:11" hidden="1">
      <c r="A219" s="28">
        <v>154</v>
      </c>
      <c r="B219" s="28" t="str">
        <f t="shared" ref="B219:B224" si="8">VLOOKUP(A219,opisy,$N$1+1,0)</f>
        <v>tys.szt.</v>
      </c>
      <c r="C219"/>
      <c r="D219"/>
      <c r="E219"/>
      <c r="F219"/>
      <c r="G219"/>
      <c r="H219"/>
      <c r="I219"/>
      <c r="J219"/>
      <c r="K219"/>
    </row>
    <row r="220" spans="1:11" hidden="1">
      <c r="A220" s="28">
        <v>155</v>
      </c>
      <c r="B220" s="28" t="str">
        <f t="shared" si="8"/>
        <v>kg</v>
      </c>
      <c r="C220"/>
      <c r="D220"/>
      <c r="E220"/>
      <c r="F220"/>
      <c r="G220"/>
      <c r="H220"/>
      <c r="I220"/>
      <c r="J220"/>
      <c r="K220"/>
    </row>
    <row r="221" spans="1:11" hidden="1">
      <c r="A221" s="28">
        <v>156</v>
      </c>
      <c r="B221" s="28" t="str">
        <f t="shared" si="8"/>
        <v>m²</v>
      </c>
      <c r="C221"/>
      <c r="D221"/>
      <c r="E221"/>
      <c r="F221"/>
      <c r="G221"/>
      <c r="H221"/>
      <c r="I221"/>
      <c r="J221"/>
      <c r="K221"/>
    </row>
    <row r="222" spans="1:11" hidden="1">
      <c r="A222" s="28">
        <v>157</v>
      </c>
      <c r="B222" s="28" t="str">
        <f t="shared" si="8"/>
        <v>m³</v>
      </c>
      <c r="C222"/>
      <c r="D222"/>
      <c r="E222"/>
      <c r="F222"/>
      <c r="G222"/>
      <c r="H222"/>
      <c r="I222"/>
      <c r="J222"/>
      <c r="K222"/>
    </row>
    <row r="223" spans="1:11" hidden="1">
      <c r="A223" s="28">
        <v>158</v>
      </c>
      <c r="B223" s="28" t="str">
        <f t="shared" si="8"/>
        <v>litr</v>
      </c>
      <c r="C223"/>
      <c r="D223"/>
      <c r="E223"/>
      <c r="F223"/>
      <c r="G223"/>
      <c r="H223"/>
      <c r="I223"/>
      <c r="J223"/>
      <c r="K223"/>
    </row>
    <row r="224" spans="1:11" hidden="1">
      <c r="A224" s="28">
        <v>159</v>
      </c>
      <c r="B224" s="28" t="str">
        <f t="shared" si="8"/>
        <v>Ceny netto</v>
      </c>
      <c r="C224"/>
      <c r="D224"/>
      <c r="E224"/>
      <c r="F224"/>
      <c r="G224"/>
      <c r="H224"/>
      <c r="I224"/>
      <c r="J224"/>
      <c r="K224"/>
    </row>
    <row r="225" spans="1:11" hidden="1">
      <c r="A225" s="28">
        <v>160</v>
      </c>
      <c r="B225" s="28" t="str">
        <f t="shared" ref="B225" si="9">VLOOKUP(A225,opisy,$N$1+1,0)</f>
        <v>AG 701 - grunt pod impregnat (biały)</v>
      </c>
      <c r="C225"/>
      <c r="D225"/>
      <c r="E225"/>
      <c r="F225"/>
      <c r="G225"/>
      <c r="H225"/>
      <c r="I225"/>
      <c r="J225"/>
      <c r="K225"/>
    </row>
    <row r="226" spans="1:11" hidden="1">
      <c r="A226" s="28">
        <v>161</v>
      </c>
      <c r="B226" s="28" t="str">
        <f t="shared" ref="B226" si="10">VLOOKUP(A226,opisy,$N$1+1,0)</f>
        <v>Grunt pod impregnat</v>
      </c>
      <c r="C226"/>
      <c r="D226"/>
      <c r="E226"/>
      <c r="F226"/>
      <c r="G226"/>
      <c r="H226"/>
      <c r="I226"/>
      <c r="J226"/>
      <c r="K226"/>
    </row>
    <row r="227" spans="1:11" hidden="1">
      <c r="A227" s="28">
        <v>162</v>
      </c>
      <c r="B227" s="28" t="str">
        <f t="shared" ref="B227:B231" si="11">VLOOKUP(A227,opisy,$N$1+1,0)</f>
        <v>Grubość ściany nośnej [cm]:</v>
      </c>
      <c r="C227"/>
      <c r="D227"/>
      <c r="E227"/>
      <c r="F227"/>
      <c r="G227"/>
      <c r="H227"/>
      <c r="I227"/>
      <c r="J227"/>
      <c r="K227"/>
    </row>
    <row r="228" spans="1:11" hidden="1">
      <c r="A228" s="28">
        <v>163</v>
      </c>
      <c r="B228" s="28" t="str">
        <f t="shared" si="11"/>
        <v xml:space="preserve">Szacunkowy współczynnik przenikania ciepła Uc: </v>
      </c>
      <c r="C228"/>
      <c r="D228"/>
      <c r="E228"/>
      <c r="F228"/>
      <c r="G228"/>
      <c r="H228"/>
      <c r="I228"/>
      <c r="J228"/>
      <c r="K228"/>
    </row>
    <row r="229" spans="1:11" hidden="1">
      <c r="A229" s="28">
        <v>164</v>
      </c>
      <c r="B229" s="28" t="str">
        <f t="shared" si="11"/>
        <v xml:space="preserve"> nie spełnia wymagań WT - zwiększ grubość izolacji</v>
      </c>
      <c r="C229"/>
      <c r="D229"/>
      <c r="E229"/>
      <c r="F229"/>
      <c r="G229"/>
      <c r="H229"/>
      <c r="I229"/>
      <c r="J229"/>
      <c r="K229"/>
    </row>
    <row r="230" spans="1:11" hidden="1">
      <c r="A230" s="28">
        <v>165</v>
      </c>
      <c r="B230" s="28" t="str">
        <f t="shared" si="11"/>
        <v xml:space="preserve"> - ściana na granicy wymagań WT (01.01.2021)</v>
      </c>
      <c r="C230"/>
      <c r="D230"/>
      <c r="E230"/>
      <c r="F230"/>
      <c r="G230"/>
      <c r="H230"/>
      <c r="I230"/>
      <c r="J230"/>
      <c r="K230"/>
    </row>
    <row r="231" spans="1:11" hidden="1">
      <c r="A231" s="28">
        <v>166</v>
      </c>
      <c r="B231" s="28" t="str">
        <f t="shared" si="11"/>
        <v xml:space="preserve"> - ściana spełnia wymagania WT (01.01.2021)</v>
      </c>
      <c r="C231"/>
      <c r="D231"/>
      <c r="E231"/>
      <c r="F231"/>
      <c r="G231"/>
      <c r="H231"/>
      <c r="I231"/>
      <c r="J231"/>
      <c r="K231"/>
    </row>
    <row r="232" spans="1:11" hidden="1">
      <c r="A232" s="28">
        <v>167</v>
      </c>
      <c r="B232" s="28" t="str">
        <f t="shared" ref="B232" si="12">VLOOKUP(A232,opisy,$N$1+1,0)</f>
        <v>projektu:</v>
      </c>
      <c r="C232"/>
      <c r="D232"/>
      <c r="E232"/>
      <c r="F232"/>
      <c r="G232"/>
      <c r="H232"/>
      <c r="I232"/>
      <c r="J232"/>
      <c r="K232"/>
    </row>
    <row r="233" spans="1:11" hidden="1">
      <c r="A233" s="28">
        <v>168</v>
      </c>
      <c r="B233" s="28" t="str">
        <f t="shared" ref="B233" si="13">VLOOKUP(A233,opisy,$N$1+1,0)</f>
        <v>Powyższe kalkulacje nie stanowią oferty w rozumieniu Kodeksu Cywilnego i mają charakter wyłącznie informacyjny.
Przyjęte zużycie materiałów może ulec zmianie w zależności od sposobu aplikacji, jakości podłoża i doświadczenia wykonawcy.</v>
      </c>
      <c r="C233"/>
      <c r="D233"/>
      <c r="E233"/>
      <c r="F233"/>
      <c r="G233"/>
      <c r="H233"/>
      <c r="I233"/>
      <c r="J233"/>
      <c r="K233"/>
    </row>
  </sheetData>
  <sheetProtection algorithmName="SHA-512" hashValue="FGPFvHFZprD0xsm5t/jUlYwP9YpbifNj2mcIQYhJyB1ah5fZYebgI48J3Lih8z+QNU6Y/4r3TDwnduAozQJsbg==" saltValue="am6AsMorXKJtqZCzsEgzgw==" spinCount="100000" sheet="1" objects="1" scenarios="1" selectLockedCells="1"/>
  <protectedRanges>
    <protectedRange password="8158" sqref="I2:J2 I4:J5 B4:B5" name="Zakres1"/>
  </protectedRanges>
  <mergeCells count="40">
    <mergeCell ref="A64:I64"/>
    <mergeCell ref="A2:E3"/>
    <mergeCell ref="F14:I14"/>
    <mergeCell ref="C24:E24"/>
    <mergeCell ref="F15:I15"/>
    <mergeCell ref="E32:I32"/>
    <mergeCell ref="C29:E29"/>
    <mergeCell ref="A30:I30"/>
    <mergeCell ref="C31:C37"/>
    <mergeCell ref="C27:E27"/>
    <mergeCell ref="C28:E28"/>
    <mergeCell ref="D31:D37"/>
    <mergeCell ref="H11:I11"/>
    <mergeCell ref="C20:E20"/>
    <mergeCell ref="F13:I13"/>
    <mergeCell ref="B10:G10"/>
    <mergeCell ref="B4:E4"/>
    <mergeCell ref="A50:I50"/>
    <mergeCell ref="A38:I38"/>
    <mergeCell ref="A51:I51"/>
    <mergeCell ref="A45:I45"/>
    <mergeCell ref="B5:E5"/>
    <mergeCell ref="F62:H62"/>
    <mergeCell ref="A47:I47"/>
    <mergeCell ref="A49:I49"/>
    <mergeCell ref="A16:I16"/>
    <mergeCell ref="B11:G11"/>
    <mergeCell ref="L17:L19"/>
    <mergeCell ref="L39:L40"/>
    <mergeCell ref="A18:E19"/>
    <mergeCell ref="G18:G19"/>
    <mergeCell ref="H39:I39"/>
    <mergeCell ref="A39:E40"/>
    <mergeCell ref="G39:G40"/>
    <mergeCell ref="C21:E21"/>
    <mergeCell ref="E36:I36"/>
    <mergeCell ref="E34:I34"/>
    <mergeCell ref="A23:E23"/>
    <mergeCell ref="C25:E25"/>
    <mergeCell ref="C22:E22"/>
  </mergeCells>
  <phoneticPr fontId="2" type="noConversion"/>
  <conditionalFormatting sqref="A16:A17 B17:I17">
    <cfRule type="expression" dxfId="33" priority="3">
      <formula>$Q$16=2</formula>
    </cfRule>
    <cfRule type="expression" dxfId="32" priority="4">
      <formula>$Q$16=1</formula>
    </cfRule>
  </conditionalFormatting>
  <conditionalFormatting sqref="A25">
    <cfRule type="expression" dxfId="31" priority="31" stopIfTrue="1">
      <formula>OR($C$24&lt;"AT 350",$C$24&gt;"AT 390")</formula>
    </cfRule>
  </conditionalFormatting>
  <conditionalFormatting sqref="A27:B27">
    <cfRule type="expression" dxfId="30" priority="27" stopIfTrue="1">
      <formula>$C$24&lt;"AT 350"</formula>
    </cfRule>
  </conditionalFormatting>
  <conditionalFormatting sqref="A28:B28 A58:B58">
    <cfRule type="expression" dxfId="29" priority="25" stopIfTrue="1">
      <formula>$C$24&gt;"AT 349"</formula>
    </cfRule>
  </conditionalFormatting>
  <conditionalFormatting sqref="A29:B29">
    <cfRule type="expression" dxfId="28" priority="29" stopIfTrue="1">
      <formula>OR($C$24&gt;"AT 349",$C$28="- bez farby")</formula>
    </cfRule>
  </conditionalFormatting>
  <conditionalFormatting sqref="A62:B62">
    <cfRule type="expression" dxfId="27" priority="37" stopIfTrue="1">
      <formula>$I$62=0</formula>
    </cfRule>
  </conditionalFormatting>
  <conditionalFormatting sqref="C20">
    <cfRule type="expression" dxfId="26" priority="21">
      <formula>$P$20</formula>
    </cfRule>
  </conditionalFormatting>
  <conditionalFormatting sqref="C53 F53:G53">
    <cfRule type="expression" dxfId="25" priority="19">
      <formula>$P$20</formula>
    </cfRule>
  </conditionalFormatting>
  <conditionalFormatting sqref="C55 F55:G55">
    <cfRule type="expression" dxfId="24" priority="18">
      <formula>$P$22</formula>
    </cfRule>
  </conditionalFormatting>
  <conditionalFormatting sqref="C58">
    <cfRule type="expression" dxfId="23" priority="26" stopIfTrue="1">
      <formula>$C$24&gt;"AT 349"</formula>
    </cfRule>
  </conditionalFormatting>
  <conditionalFormatting sqref="C62">
    <cfRule type="expression" dxfId="22" priority="36" stopIfTrue="1">
      <formula>$I$62=0</formula>
    </cfRule>
  </conditionalFormatting>
  <conditionalFormatting sqref="C22:E22">
    <cfRule type="expression" dxfId="21" priority="20">
      <formula>$P$22</formula>
    </cfRule>
  </conditionalFormatting>
  <conditionalFormatting sqref="C25:E25">
    <cfRule type="expression" dxfId="20" priority="2">
      <formula>OR($C$24&lt;"AT 350",$C$24&gt;"AT 390")</formula>
    </cfRule>
  </conditionalFormatting>
  <conditionalFormatting sqref="C27:E27">
    <cfRule type="expression" dxfId="19" priority="35" stopIfTrue="1">
      <formula>$C$24&lt;"AT 350"</formula>
    </cfRule>
  </conditionalFormatting>
  <conditionalFormatting sqref="C28:E28">
    <cfRule type="expression" dxfId="18" priority="28" stopIfTrue="1">
      <formula>$C$24&gt;"AT 349"</formula>
    </cfRule>
  </conditionalFormatting>
  <conditionalFormatting sqref="C29:E29">
    <cfRule type="expression" dxfId="17" priority="215" stopIfTrue="1">
      <formula>OR($C$24&gt;"AT 349",$C$28=$B$167,$C28=0)</formula>
    </cfRule>
    <cfRule type="expression" dxfId="16" priority="214">
      <formula>$P$29</formula>
    </cfRule>
  </conditionalFormatting>
  <conditionalFormatting sqref="F58">
    <cfRule type="expression" dxfId="15" priority="24" stopIfTrue="1">
      <formula>$F$28=0</formula>
    </cfRule>
  </conditionalFormatting>
  <conditionalFormatting sqref="F3:H3">
    <cfRule type="expression" dxfId="14" priority="8">
      <formula>$O$2</formula>
    </cfRule>
  </conditionalFormatting>
  <conditionalFormatting sqref="G25">
    <cfRule type="expression" dxfId="13" priority="32" stopIfTrue="1">
      <formula>$F$25=0</formula>
    </cfRule>
  </conditionalFormatting>
  <conditionalFormatting sqref="G28">
    <cfRule type="expression" dxfId="12" priority="33" stopIfTrue="1">
      <formula>$F$28=0</formula>
    </cfRule>
  </conditionalFormatting>
  <conditionalFormatting sqref="G29">
    <cfRule type="expression" dxfId="11" priority="34" stopIfTrue="1">
      <formula>$F$29=0</formula>
    </cfRule>
  </conditionalFormatting>
  <conditionalFormatting sqref="H41">
    <cfRule type="expression" dxfId="10" priority="38" stopIfTrue="1">
      <formula>$F$41=0</formula>
    </cfRule>
  </conditionalFormatting>
  <conditionalFormatting sqref="H42">
    <cfRule type="expression" dxfId="9" priority="40" stopIfTrue="1">
      <formula>$F$42=0</formula>
    </cfRule>
  </conditionalFormatting>
  <conditionalFormatting sqref="H43">
    <cfRule type="expression" dxfId="8" priority="39" stopIfTrue="1">
      <formula>$F$43=0</formula>
    </cfRule>
  </conditionalFormatting>
  <conditionalFormatting sqref="I3">
    <cfRule type="expression" dxfId="7" priority="7">
      <formula>$O$2</formula>
    </cfRule>
  </conditionalFormatting>
  <conditionalFormatting sqref="L17 L20:L23">
    <cfRule type="expression" dxfId="6" priority="43" stopIfTrue="1">
      <formula>$N$23&gt;0</formula>
    </cfRule>
  </conditionalFormatting>
  <conditionalFormatting sqref="L24">
    <cfRule type="expression" dxfId="5" priority="46" stopIfTrue="1">
      <formula>$N$24=0</formula>
    </cfRule>
  </conditionalFormatting>
  <conditionalFormatting sqref="L26">
    <cfRule type="expression" dxfId="4" priority="45" stopIfTrue="1">
      <formula>$N$26=0</formula>
    </cfRule>
  </conditionalFormatting>
  <conditionalFormatting sqref="L28">
    <cfRule type="expression" dxfId="3" priority="44" stopIfTrue="1">
      <formula>$N$28=0</formula>
    </cfRule>
  </conditionalFormatting>
  <conditionalFormatting sqref="L41">
    <cfRule type="expression" dxfId="2" priority="41" stopIfTrue="1">
      <formula>$D$15&lt;=0</formula>
    </cfRule>
  </conditionalFormatting>
  <conditionalFormatting sqref="N15">
    <cfRule type="expression" dxfId="1" priority="67" stopIfTrue="1">
      <formula>$I$2=$M$4</formula>
    </cfRule>
  </conditionalFormatting>
  <dataValidations count="28">
    <dataValidation errorStyle="warning" allowBlank="1" showInputMessage="1" showErrorMessage="1" sqref="C58" xr:uid="{00000000-0002-0000-0000-000000000000}"/>
    <dataValidation type="decimal" allowBlank="1" showInputMessage="1" showErrorMessage="1" sqref="K41 I4:J4" xr:uid="{00000000-0002-0000-0000-000001000000}">
      <formula1>0</formula1>
      <formula2>1</formula2>
    </dataValidation>
    <dataValidation type="decimal" allowBlank="1" showInputMessage="1" showErrorMessage="1" sqref="F44 F35" xr:uid="{00000000-0002-0000-0000-000002000000}">
      <formula1>0</formula1>
      <formula2>100</formula2>
    </dataValidation>
    <dataValidation type="decimal" allowBlank="1" showInputMessage="1" showErrorMessage="1" sqref="H41:H43" xr:uid="{00000000-0002-0000-0000-000003000000}">
      <formula1>0</formula1>
      <formula2>99</formula2>
    </dataValidation>
    <dataValidation type="decimal" allowBlank="1" showInputMessage="1" showErrorMessage="1" sqref="H44" xr:uid="{00000000-0002-0000-0000-000004000000}">
      <formula1>0</formula1>
      <formula2>10</formula2>
    </dataValidation>
    <dataValidation type="list" allowBlank="1" showInputMessage="1" showErrorMessage="1" sqref="F41" xr:uid="{00000000-0002-0000-0000-000005000000}">
      <formula1>$O$40:$O$42</formula1>
    </dataValidation>
    <dataValidation type="decimal" operator="greaterThanOrEqual" allowBlank="1" showInputMessage="1" showErrorMessage="1" sqref="K42:K44" xr:uid="{00000000-0002-0000-0000-000006000000}">
      <formula1>0</formula1>
    </dataValidation>
    <dataValidation type="list" showInputMessage="1" showErrorMessage="1" sqref="F14" xr:uid="{00000000-0002-0000-0000-000007000000}">
      <formula1>ściany</formula1>
    </dataValidation>
    <dataValidation type="list" errorStyle="warning" allowBlank="1" showInputMessage="1" showErrorMessage="1" sqref="C28:E28" xr:uid="{00000000-0002-0000-0000-000008000000}">
      <formula1>farby</formula1>
    </dataValidation>
    <dataValidation type="list" errorStyle="warning" allowBlank="1" showInputMessage="1" showErrorMessage="1" error="Nie wprowadziłeś żadnej pozycji !" sqref="C24:E24" xr:uid="{00000000-0002-0000-0000-000009000000}">
      <formula1>tynki</formula1>
    </dataValidation>
    <dataValidation type="list" errorStyle="warning" allowBlank="1" showInputMessage="1" showErrorMessage="1" error="Nie wprowadziłeś żadnej pozycji !" sqref="C25:E25" xr:uid="{00000000-0002-0000-0000-00000A000000}">
      <formula1>dopłaty_t</formula1>
    </dataValidation>
    <dataValidation type="list" showInputMessage="1" showErrorMessage="1" sqref="C21" xr:uid="{00000000-0002-0000-0000-00000B000000}">
      <formula1>siatki</formula1>
    </dataValidation>
    <dataValidation type="list" errorStyle="warning" showInputMessage="1" showErrorMessage="1" error="aa" sqref="C22:E22" xr:uid="{00000000-0002-0000-0000-00000C000000}">
      <formula1>INDIRECT($M$15)</formula1>
    </dataValidation>
    <dataValidation type="list" allowBlank="1" showInputMessage="1" showErrorMessage="1" sqref="C29:E29" xr:uid="{00000000-0002-0000-0000-00000D000000}">
      <formula1>INDIRECT($O$29)</formula1>
    </dataValidation>
    <dataValidation type="list" allowBlank="1" showInputMessage="1" showErrorMessage="1" sqref="C27:E27" xr:uid="{00000000-0002-0000-0000-00000E000000}">
      <formula1>dopłaty_g</formula1>
    </dataValidation>
    <dataValidation type="list" allowBlank="1" showInputMessage="1" showErrorMessage="1" sqref="C20" xr:uid="{00000000-0002-0000-0000-00000F000000}">
      <formula1>INDIRECT($M$14)</formula1>
    </dataValidation>
    <dataValidation type="list" showInputMessage="1" showErrorMessage="1" sqref="F13:J13" xr:uid="{00000000-0002-0000-0000-000010000000}">
      <formula1>budynki</formula1>
    </dataValidation>
    <dataValidation type="list" allowBlank="1" showInputMessage="1" showErrorMessage="1" sqref="D15" xr:uid="{00000000-0002-0000-0000-000011000000}">
      <formula1>izolacja</formula1>
    </dataValidation>
    <dataValidation type="whole" operator="greaterThanOrEqual" allowBlank="1" showInputMessage="1" showErrorMessage="1" sqref="D13" xr:uid="{00000000-0002-0000-0000-000012000000}">
      <formula1>0</formula1>
    </dataValidation>
    <dataValidation type="list" allowBlank="1" showInputMessage="1" showErrorMessage="1" sqref="F21" xr:uid="{00000000-0002-0000-0000-000013000000}">
      <formula1>$O$20:$O$22</formula1>
    </dataValidation>
    <dataValidation type="list" allowBlank="1" showInputMessage="1" showErrorMessage="1" sqref="F22" xr:uid="{00000000-0002-0000-0000-000014000000}">
      <formula1>$N$20:$N$22</formula1>
    </dataValidation>
    <dataValidation type="list" allowBlank="1" showInputMessage="1" showErrorMessage="1" sqref="F20" xr:uid="{00000000-0002-0000-0000-000015000000}">
      <formula1>$N$19:$N$21</formula1>
    </dataValidation>
    <dataValidation type="list" allowBlank="1" showInputMessage="1" showErrorMessage="1" sqref="F15:J15" xr:uid="{00000000-0002-0000-0000-000016000000}">
      <formula1>rodzaje_styropianu</formula1>
    </dataValidation>
    <dataValidation type="whole" allowBlank="1" showInputMessage="1" showErrorMessage="1" sqref="D14" xr:uid="{00000000-0002-0000-0000-000017000000}">
      <formula1>0</formula1>
      <formula2>50</formula2>
    </dataValidation>
    <dataValidation type="list" showInputMessage="1" showErrorMessage="1" sqref="I2:J2" xr:uid="{00000000-0002-0000-0000-000018000000}">
      <formula1>ceny</formula1>
    </dataValidation>
    <dataValidation type="decimal" allowBlank="1" showInputMessage="1" showErrorMessage="1" sqref="I5:J5" xr:uid="{00000000-0002-0000-0000-000019000000}">
      <formula1>-1</formula1>
      <formula2>1</formula2>
    </dataValidation>
    <dataValidation type="list" allowBlank="1" showInputMessage="1" sqref="H11" xr:uid="{00000000-0002-0000-0000-00001A000000}">
      <formula1>data</formula1>
    </dataValidation>
    <dataValidation type="list" allowBlank="1" showInputMessage="1" showErrorMessage="1" sqref="I1" xr:uid="{00000000-0002-0000-0000-00001B000000}">
      <formula1>Język</formula1>
    </dataValidation>
  </dataValidations>
  <printOptions horizontalCentered="1" verticalCentered="1"/>
  <pageMargins left="0.39370078740157483" right="0.39370078740157483" top="0.35433070866141736" bottom="0.35433070866141736" header="0.51181102362204722" footer="0.31496062992125984"/>
  <pageSetup paperSize="9" orientation="portrait" horizontalDpi="4294967293" r:id="rId1"/>
  <headerFooter alignWithMargins="0"/>
  <ignoredErrors>
    <ignoredError sqref="I26:I28 I25 G54:H54 H2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tabColor indexed="12"/>
  </sheetPr>
  <dimension ref="A1:S97"/>
  <sheetViews>
    <sheetView workbookViewId="0">
      <selection activeCell="D1" sqref="D1"/>
    </sheetView>
  </sheetViews>
  <sheetFormatPr defaultRowHeight="13.2"/>
  <cols>
    <col min="1" max="1" width="50.109375" customWidth="1"/>
    <col min="2" max="2" width="15.33203125" customWidth="1"/>
    <col min="3" max="3" width="13.6640625" style="3" bestFit="1" customWidth="1"/>
    <col min="4" max="4" width="8" style="3" customWidth="1"/>
    <col min="5" max="6" width="9.88671875" style="1" hidden="1" customWidth="1"/>
    <col min="7" max="7" width="9.109375" style="1" hidden="1" customWidth="1"/>
    <col min="8" max="8" width="43.6640625" hidden="1" customWidth="1"/>
    <col min="9" max="9" width="12.88671875" hidden="1" customWidth="1"/>
    <col min="10" max="10" width="13.109375" hidden="1" customWidth="1"/>
    <col min="11" max="14" width="9.109375" hidden="1" customWidth="1"/>
    <col min="15" max="16" width="8.88671875" customWidth="1"/>
  </cols>
  <sheetData>
    <row r="1" spans="1:14" s="90" customFormat="1" ht="18" customHeight="1">
      <c r="A1" s="86" t="str">
        <f>Kalkulator!B69</f>
        <v>Cennik:</v>
      </c>
      <c r="B1" s="87" t="s">
        <v>684</v>
      </c>
      <c r="C1" s="86" t="str">
        <f>Kalkulator!B74</f>
        <v>VAT (PL):</v>
      </c>
      <c r="D1" s="88">
        <v>0.23</v>
      </c>
      <c r="E1" s="89" t="b">
        <f>NOT(Kalkulator!O2)</f>
        <v>0</v>
      </c>
      <c r="F1" s="89"/>
      <c r="G1" s="89"/>
    </row>
    <row r="2" spans="1:14">
      <c r="A2" s="91"/>
      <c r="B2" s="92"/>
      <c r="C2" s="93"/>
      <c r="D2" s="94"/>
    </row>
    <row r="3" spans="1:14">
      <c r="A3" s="407" t="str">
        <f>Kalkulator!B166</f>
        <v>Nazwa produktu ALPOL</v>
      </c>
      <c r="B3" s="46" t="str">
        <f>Kalkulator!B224</f>
        <v>Ceny netto</v>
      </c>
      <c r="C3" s="410" t="str">
        <f>Kalkulator!B217</f>
        <v>Opakowanie</v>
      </c>
      <c r="D3" s="407" t="str">
        <f>Kalkulator!B108</f>
        <v>Jedn.</v>
      </c>
      <c r="E3" s="48" t="s">
        <v>2</v>
      </c>
      <c r="F3" s="49" t="s">
        <v>2</v>
      </c>
      <c r="G3" s="49" t="s">
        <v>0</v>
      </c>
      <c r="H3" s="85"/>
      <c r="I3" s="85"/>
      <c r="J3" s="98"/>
      <c r="K3" s="99"/>
      <c r="L3" s="99"/>
      <c r="M3" s="99"/>
      <c r="N3" s="100"/>
    </row>
    <row r="4" spans="1:14">
      <c r="A4" s="409"/>
      <c r="B4" s="47" t="s">
        <v>394</v>
      </c>
      <c r="C4" s="411"/>
      <c r="D4" s="408"/>
      <c r="E4" s="50" t="s">
        <v>1</v>
      </c>
      <c r="F4" s="51" t="s">
        <v>22</v>
      </c>
      <c r="G4" s="51" t="s">
        <v>1</v>
      </c>
      <c r="H4" s="30"/>
      <c r="I4" s="30"/>
      <c r="J4" s="101"/>
      <c r="K4" s="102"/>
      <c r="L4" s="104" t="s">
        <v>440</v>
      </c>
      <c r="M4" s="102"/>
      <c r="N4" s="103"/>
    </row>
    <row r="5" spans="1:14" hidden="1">
      <c r="A5" s="44" t="str">
        <f>Kalkulator!B167</f>
        <v>- bez farby</v>
      </c>
      <c r="B5" s="45">
        <v>0</v>
      </c>
      <c r="C5" s="63">
        <v>0</v>
      </c>
      <c r="D5" s="64"/>
      <c r="E5" s="65">
        <v>0</v>
      </c>
      <c r="F5" s="65">
        <f>E5*(1-Kalkulator!I$4)*(1+Kalkulator!I$5)</f>
        <v>0</v>
      </c>
      <c r="G5" s="65">
        <v>0</v>
      </c>
      <c r="H5" s="66"/>
      <c r="I5" s="66"/>
      <c r="J5" s="29" t="s">
        <v>441</v>
      </c>
      <c r="K5" s="29" t="s">
        <v>442</v>
      </c>
      <c r="L5" s="29" t="s">
        <v>443</v>
      </c>
      <c r="M5" s="29" t="s">
        <v>444</v>
      </c>
      <c r="N5" s="29" t="s">
        <v>445</v>
      </c>
    </row>
    <row r="6" spans="1:14">
      <c r="A6" s="40" t="str">
        <f>Kalkulator!B168</f>
        <v>AF 640 - farba elewacyjna akrylowa</v>
      </c>
      <c r="B6" s="119">
        <v>257.89999999999998</v>
      </c>
      <c r="C6" s="61">
        <v>10</v>
      </c>
      <c r="D6" s="62" t="s">
        <v>5</v>
      </c>
      <c r="E6" s="52">
        <f t="shared" ref="E6:E51" si="0">B6/C6</f>
        <v>25.79</v>
      </c>
      <c r="F6" s="45">
        <f>E6*(1-Kalkulator!I$4)*(1+Kalkulator!I$5)</f>
        <v>25.79</v>
      </c>
      <c r="G6" s="59">
        <v>0.25</v>
      </c>
      <c r="H6" s="30"/>
      <c r="I6" s="30"/>
      <c r="J6" s="107">
        <v>0</v>
      </c>
      <c r="K6" s="107">
        <v>0</v>
      </c>
      <c r="L6" s="107">
        <v>0.1038</v>
      </c>
      <c r="M6" s="107">
        <v>0.2999</v>
      </c>
      <c r="N6" s="107">
        <v>0</v>
      </c>
    </row>
    <row r="7" spans="1:14">
      <c r="A7" s="41" t="str">
        <f>Kalkulator!B169</f>
        <v>AF 660 - farba elewacyjna silikatowa</v>
      </c>
      <c r="B7" s="118">
        <v>303.89999999999998</v>
      </c>
      <c r="C7" s="42">
        <v>10</v>
      </c>
      <c r="D7" s="67" t="s">
        <v>5</v>
      </c>
      <c r="E7" s="52">
        <f t="shared" si="0"/>
        <v>30.389999999999997</v>
      </c>
      <c r="F7" s="45">
        <f>E7*(1-Kalkulator!I$4)*(1+Kalkulator!I$5)</f>
        <v>30.389999999999997</v>
      </c>
      <c r="G7" s="59">
        <v>0.33</v>
      </c>
      <c r="H7" s="30"/>
      <c r="I7" s="30"/>
      <c r="J7" s="108">
        <v>0</v>
      </c>
      <c r="K7" s="108">
        <v>0</v>
      </c>
      <c r="L7" s="108">
        <v>9.5699999999999993E-2</v>
      </c>
      <c r="M7" s="108">
        <v>0.29270000000000002</v>
      </c>
      <c r="N7" s="108">
        <v>0</v>
      </c>
    </row>
    <row r="8" spans="1:14">
      <c r="A8" s="41" t="str">
        <f>Kalkulator!B170</f>
        <v>AF 680 - farba elewacyjna silikonowa</v>
      </c>
      <c r="B8" s="118">
        <v>392.7</v>
      </c>
      <c r="C8" s="42">
        <v>10</v>
      </c>
      <c r="D8" s="43" t="s">
        <v>5</v>
      </c>
      <c r="E8" s="52">
        <f t="shared" si="0"/>
        <v>39.269999999999996</v>
      </c>
      <c r="F8" s="45">
        <f>E8*(1-Kalkulator!I$4)*(1+Kalkulator!I$5)</f>
        <v>39.269999999999996</v>
      </c>
      <c r="G8" s="59">
        <v>0.33</v>
      </c>
      <c r="H8" s="30"/>
      <c r="I8" s="30"/>
      <c r="J8" s="109">
        <v>0</v>
      </c>
      <c r="K8" s="109">
        <v>0</v>
      </c>
      <c r="L8" s="109">
        <v>0.11799999999999999</v>
      </c>
      <c r="M8" s="109">
        <v>0.31190000000000001</v>
      </c>
      <c r="N8" s="109">
        <v>0</v>
      </c>
    </row>
    <row r="9" spans="1:14">
      <c r="A9" s="41" t="str">
        <f>Kalkulator!B171</f>
        <v>AF 685 - farba silikonowa elastyczna</v>
      </c>
      <c r="B9" s="118">
        <v>683.6</v>
      </c>
      <c r="C9" s="42">
        <v>10</v>
      </c>
      <c r="D9" s="43" t="s">
        <v>5</v>
      </c>
      <c r="E9" s="52">
        <f t="shared" ref="E9:E10" si="1">B9/C9</f>
        <v>68.36</v>
      </c>
      <c r="F9" s="45">
        <f>E9*(1-Kalkulator!I$4)*(1+Kalkulator!I$5)</f>
        <v>68.36</v>
      </c>
      <c r="G9" s="59">
        <v>0.33</v>
      </c>
      <c r="H9" s="30"/>
      <c r="I9" s="30"/>
      <c r="J9" s="108"/>
      <c r="K9" s="108"/>
      <c r="L9" s="108"/>
      <c r="M9" s="108"/>
      <c r="N9" s="108"/>
    </row>
    <row r="10" spans="1:14">
      <c r="A10" s="41" t="str">
        <f>Kalkulator!B172</f>
        <v>AI 785 - impregnat koloryzujący</v>
      </c>
      <c r="B10" s="118">
        <v>713.3</v>
      </c>
      <c r="C10" s="42">
        <v>10</v>
      </c>
      <c r="D10" s="97" t="s">
        <v>4</v>
      </c>
      <c r="E10" s="52">
        <f t="shared" si="1"/>
        <v>71.33</v>
      </c>
      <c r="F10" s="45">
        <f>E10*(1-Kalkulator!I$4)*(1+Kalkulator!I$5)</f>
        <v>71.33</v>
      </c>
      <c r="G10" s="59">
        <v>0.22</v>
      </c>
      <c r="H10" s="30"/>
      <c r="I10" s="30"/>
      <c r="J10" s="108"/>
      <c r="K10" s="108"/>
      <c r="L10" s="108"/>
      <c r="M10" s="108"/>
      <c r="N10" s="108"/>
    </row>
    <row r="11" spans="1:14">
      <c r="A11" s="41" t="str">
        <f>Kalkulator!B173</f>
        <v>AG 701 - grunt pod tynki mineralne i silikonowe</v>
      </c>
      <c r="B11" s="118">
        <v>121.68</v>
      </c>
      <c r="C11" s="42">
        <v>13</v>
      </c>
      <c r="D11" s="43" t="s">
        <v>4</v>
      </c>
      <c r="E11" s="52">
        <f t="shared" si="0"/>
        <v>9.3600000000000012</v>
      </c>
      <c r="F11" s="45">
        <f>E11*(1-Kalkulator!I$4)*(1+Kalkulator!I$5)</f>
        <v>9.3600000000000012</v>
      </c>
      <c r="G11" s="59">
        <v>0.3</v>
      </c>
      <c r="H11" s="30"/>
      <c r="I11" s="30"/>
      <c r="J11" s="107">
        <v>0</v>
      </c>
      <c r="K11" s="107">
        <v>7.3717948717948678E-2</v>
      </c>
      <c r="L11" s="107">
        <v>0.18269230769230749</v>
      </c>
      <c r="M11" s="107">
        <v>0.32692307692307687</v>
      </c>
      <c r="N11" s="107">
        <v>0</v>
      </c>
    </row>
    <row r="12" spans="1:14" ht="12.75" customHeight="1">
      <c r="A12" s="41" t="str">
        <f>Kalkulator!B174</f>
        <v>AG 705 - grunt pod tynki akrylowe</v>
      </c>
      <c r="B12" s="118">
        <v>122.98</v>
      </c>
      <c r="C12" s="42">
        <v>13</v>
      </c>
      <c r="D12" s="43" t="s">
        <v>4</v>
      </c>
      <c r="E12" s="52">
        <f t="shared" si="0"/>
        <v>9.4600000000000009</v>
      </c>
      <c r="F12" s="45">
        <f>E12*(1-Kalkulator!I$4)*(1+Kalkulator!I$5)</f>
        <v>9.4600000000000009</v>
      </c>
      <c r="G12" s="59">
        <v>0.25</v>
      </c>
      <c r="H12" s="30"/>
      <c r="I12" s="30"/>
      <c r="J12" s="108">
        <v>0</v>
      </c>
      <c r="K12" s="108">
        <v>9.4080338266384844E-2</v>
      </c>
      <c r="L12" s="108">
        <v>0.19344608879492609</v>
      </c>
      <c r="M12" s="108">
        <v>0.38583509513742076</v>
      </c>
      <c r="N12" s="108">
        <v>0</v>
      </c>
    </row>
    <row r="13" spans="1:14">
      <c r="A13" s="41" t="str">
        <f>Kalkulator!B175</f>
        <v>AG 706 - grunt pod tynki krzemianowe</v>
      </c>
      <c r="B13" s="118">
        <v>122.98</v>
      </c>
      <c r="C13" s="42">
        <v>13</v>
      </c>
      <c r="D13" s="43" t="s">
        <v>4</v>
      </c>
      <c r="E13" s="52">
        <f t="shared" si="0"/>
        <v>9.4600000000000009</v>
      </c>
      <c r="F13" s="45">
        <f>E13*(1-Kalkulator!I$4)*(1+Kalkulator!I$5)</f>
        <v>9.4600000000000009</v>
      </c>
      <c r="G13" s="59">
        <v>0.25</v>
      </c>
      <c r="H13" s="30"/>
      <c r="I13" s="30"/>
      <c r="J13" s="109">
        <v>0</v>
      </c>
      <c r="K13" s="109">
        <v>9.4080338266384844E-2</v>
      </c>
      <c r="L13" s="109">
        <v>0.19344608879492609</v>
      </c>
      <c r="M13" s="109">
        <v>0.38583509513742076</v>
      </c>
      <c r="N13" s="109">
        <v>0</v>
      </c>
    </row>
    <row r="14" spans="1:14">
      <c r="A14" s="41" t="str">
        <f>Kalkulator!B176</f>
        <v>AK 525 - klej do styropianu STANDARD</v>
      </c>
      <c r="B14" s="118">
        <v>29.25</v>
      </c>
      <c r="C14" s="42">
        <v>25</v>
      </c>
      <c r="D14" s="43" t="s">
        <v>4</v>
      </c>
      <c r="E14" s="52">
        <f t="shared" si="0"/>
        <v>1.17</v>
      </c>
      <c r="F14" s="45">
        <f>E14*(1-Kalkulator!I$4)*(1+Kalkulator!I$5)</f>
        <v>1.17</v>
      </c>
      <c r="G14" s="59">
        <v>3.5</v>
      </c>
      <c r="H14" s="30"/>
      <c r="I14" s="31"/>
      <c r="J14" s="30"/>
      <c r="K14" s="30"/>
      <c r="L14" s="30"/>
      <c r="M14" s="30"/>
      <c r="N14" s="30"/>
    </row>
    <row r="15" spans="1:14">
      <c r="A15" s="41" t="str">
        <f>Kalkulator!B177</f>
        <v>AK 527 - klej do ociepleń na styropianie STANDARD</v>
      </c>
      <c r="B15" s="118">
        <v>39</v>
      </c>
      <c r="C15" s="42">
        <v>25</v>
      </c>
      <c r="D15" s="43" t="s">
        <v>4</v>
      </c>
      <c r="E15" s="52">
        <f t="shared" si="0"/>
        <v>1.56</v>
      </c>
      <c r="F15" s="45">
        <f>E15*(1-Kalkulator!I$4)*(1+Kalkulator!I$5)</f>
        <v>1.56</v>
      </c>
      <c r="G15" s="59">
        <v>3.5</v>
      </c>
      <c r="H15" s="30"/>
      <c r="I15" s="29"/>
      <c r="J15" s="30"/>
      <c r="K15" s="30"/>
      <c r="L15" s="30"/>
      <c r="M15" s="30"/>
      <c r="N15" s="30"/>
    </row>
    <row r="16" spans="1:14">
      <c r="A16" s="41" t="str">
        <f>Kalkulator!B178</f>
        <v>AK 530 - klej do styropianu PREMIUM</v>
      </c>
      <c r="B16" s="118">
        <v>34.75</v>
      </c>
      <c r="C16" s="42">
        <v>25</v>
      </c>
      <c r="D16" s="43" t="s">
        <v>4</v>
      </c>
      <c r="E16" s="52">
        <f t="shared" si="0"/>
        <v>1.39</v>
      </c>
      <c r="F16" s="45">
        <f>E16*(1-Kalkulator!I$4)*(1+Kalkulator!I$5)</f>
        <v>1.39</v>
      </c>
      <c r="G16" s="59">
        <v>3.5</v>
      </c>
      <c r="H16" s="30"/>
      <c r="I16" s="31" t="s">
        <v>16</v>
      </c>
      <c r="J16" s="30"/>
      <c r="K16" s="30"/>
      <c r="L16" s="30"/>
      <c r="M16" s="30"/>
      <c r="N16" s="30"/>
    </row>
    <row r="17" spans="1:15">
      <c r="A17" s="41" t="str">
        <f>Kalkulator!B179</f>
        <v>AK 531 - klej do ociepleń BIAŁY</v>
      </c>
      <c r="B17" s="118">
        <v>54.25</v>
      </c>
      <c r="C17" s="42">
        <v>25</v>
      </c>
      <c r="D17" s="43" t="s">
        <v>4</v>
      </c>
      <c r="E17" s="52">
        <f t="shared" si="0"/>
        <v>2.17</v>
      </c>
      <c r="F17" s="45">
        <f>E17*(1-Kalkulator!I$4)*(1+Kalkulator!I$5)</f>
        <v>2.17</v>
      </c>
      <c r="G17" s="59">
        <v>3.5</v>
      </c>
      <c r="H17" s="30"/>
      <c r="I17" s="29" t="s">
        <v>17</v>
      </c>
      <c r="J17" s="30"/>
      <c r="K17" s="30"/>
      <c r="L17" s="30"/>
      <c r="M17" s="30"/>
      <c r="N17" s="30"/>
    </row>
    <row r="18" spans="1:15">
      <c r="A18" s="41" t="str">
        <f>Kalkulator!B180</f>
        <v>AK 532 - klej do ociepleń PREMIUM</v>
      </c>
      <c r="B18" s="118">
        <v>45.5</v>
      </c>
      <c r="C18" s="42">
        <v>25</v>
      </c>
      <c r="D18" s="43" t="s">
        <v>4</v>
      </c>
      <c r="E18" s="52">
        <f t="shared" si="0"/>
        <v>1.82</v>
      </c>
      <c r="F18" s="45">
        <f>E18*(1-Kalkulator!I$4)*(1+Kalkulator!I$5)</f>
        <v>1.82</v>
      </c>
      <c r="G18" s="59">
        <v>3.5</v>
      </c>
      <c r="H18" s="29" t="s">
        <v>21</v>
      </c>
      <c r="I18" s="29" t="s">
        <v>18</v>
      </c>
      <c r="J18" s="30"/>
      <c r="K18" s="30"/>
      <c r="L18" s="30"/>
      <c r="M18" s="30"/>
      <c r="N18" s="30"/>
      <c r="O18" s="106"/>
    </row>
    <row r="19" spans="1:15">
      <c r="A19" s="41" t="str">
        <f>Kalkulator!B181</f>
        <v>AK 534 - klej do ociepleń ZIMOWY</v>
      </c>
      <c r="B19" s="118">
        <v>57.75</v>
      </c>
      <c r="C19" s="42">
        <v>25</v>
      </c>
      <c r="D19" s="43" t="s">
        <v>4</v>
      </c>
      <c r="E19" s="52">
        <f t="shared" si="0"/>
        <v>2.31</v>
      </c>
      <c r="F19" s="45">
        <f>E19*(1-Kalkulator!I$4)*(1+Kalkulator!I$5)</f>
        <v>2.31</v>
      </c>
      <c r="G19" s="59">
        <v>3.5</v>
      </c>
      <c r="H19" s="30"/>
      <c r="I19" s="29" t="s">
        <v>19</v>
      </c>
      <c r="J19" s="30"/>
      <c r="K19" s="30"/>
      <c r="L19" s="30"/>
      <c r="M19" s="30"/>
      <c r="N19" s="30"/>
    </row>
    <row r="20" spans="1:15">
      <c r="A20" s="41" t="str">
        <f>Kalkulator!B182</f>
        <v>AH 741 - bitumiczna masa uszczelniająca</v>
      </c>
      <c r="B20" s="118">
        <v>303.8</v>
      </c>
      <c r="C20" s="42">
        <v>20</v>
      </c>
      <c r="D20" s="43" t="s">
        <v>4</v>
      </c>
      <c r="E20" s="52">
        <f t="shared" si="0"/>
        <v>15.190000000000001</v>
      </c>
      <c r="F20" s="45">
        <f>E20*(1-Kalkulator!I$4)*(1+Kalkulator!I$5)</f>
        <v>15.190000000000001</v>
      </c>
      <c r="G20" s="59">
        <v>3.5</v>
      </c>
      <c r="H20" s="32"/>
      <c r="I20" s="29" t="s">
        <v>20</v>
      </c>
      <c r="J20" s="30"/>
      <c r="K20" s="30"/>
      <c r="L20" s="30"/>
      <c r="M20" s="30"/>
      <c r="N20" s="30"/>
    </row>
    <row r="21" spans="1:15">
      <c r="A21" s="41" t="str">
        <f>Kalkulator!B183</f>
        <v>AT 319 - tynk mineralny modelowany biały</v>
      </c>
      <c r="B21" s="118">
        <v>95.25</v>
      </c>
      <c r="C21" s="42">
        <v>25</v>
      </c>
      <c r="D21" s="43" t="s">
        <v>4</v>
      </c>
      <c r="E21" s="52">
        <f t="shared" si="0"/>
        <v>3.81</v>
      </c>
      <c r="F21" s="45">
        <f>E21*(1-Kalkulator!I$4)*(1+Kalkulator!I$5)</f>
        <v>3.81</v>
      </c>
      <c r="G21" s="59">
        <v>5</v>
      </c>
      <c r="H21" s="4" t="str">
        <f>$A$11</f>
        <v>AG 701 - grunt pod tynki mineralne i silikonowe</v>
      </c>
      <c r="I21" s="105">
        <v>0.91</v>
      </c>
      <c r="J21" s="30"/>
      <c r="K21" s="30"/>
      <c r="L21" s="30"/>
      <c r="M21" s="30"/>
      <c r="N21" s="30"/>
    </row>
    <row r="22" spans="1:15">
      <c r="A22" s="41" t="str">
        <f>Kalkulator!B184</f>
        <v>AT 320 - tynk mineralny biały baranek 1,5 mm</v>
      </c>
      <c r="B22" s="118">
        <v>76.5</v>
      </c>
      <c r="C22" s="42">
        <v>25</v>
      </c>
      <c r="D22" s="43" t="s">
        <v>4</v>
      </c>
      <c r="E22" s="52">
        <f t="shared" si="0"/>
        <v>3.06</v>
      </c>
      <c r="F22" s="45">
        <f>E22*(1-Kalkulator!I$4)*(1+Kalkulator!I$5)</f>
        <v>3.06</v>
      </c>
      <c r="G22" s="59">
        <v>2</v>
      </c>
      <c r="H22" s="4" t="str">
        <f>$A$11</f>
        <v>AG 701 - grunt pod tynki mineralne i silikonowe</v>
      </c>
      <c r="I22" s="4">
        <v>0.95</v>
      </c>
      <c r="J22" s="30"/>
      <c r="K22" s="30"/>
      <c r="L22" s="30"/>
      <c r="M22" s="30"/>
      <c r="N22" s="30"/>
    </row>
    <row r="23" spans="1:15">
      <c r="A23" s="41" t="str">
        <f>Kalkulator!B185</f>
        <v>AT 320 - tynk mineralny biały baranek 2 mm</v>
      </c>
      <c r="B23" s="118"/>
      <c r="C23" s="42">
        <v>25</v>
      </c>
      <c r="D23" s="43" t="s">
        <v>4</v>
      </c>
      <c r="E23" s="52">
        <f t="shared" si="0"/>
        <v>0</v>
      </c>
      <c r="F23" s="45">
        <f>E23*(1-Kalkulator!I$4)*(1+Kalkulator!I$5)</f>
        <v>0</v>
      </c>
      <c r="G23" s="59">
        <v>2.5</v>
      </c>
      <c r="H23" s="4" t="str">
        <f t="shared" ref="H23:H29" si="2">$A$11</f>
        <v>AG 701 - grunt pod tynki mineralne i silikonowe</v>
      </c>
      <c r="I23" s="4">
        <v>1</v>
      </c>
      <c r="J23" s="30"/>
      <c r="K23" s="30"/>
      <c r="L23" s="30"/>
      <c r="M23" s="30"/>
      <c r="N23" s="30"/>
    </row>
    <row r="24" spans="1:15">
      <c r="A24" s="41" t="str">
        <f>Kalkulator!B186</f>
        <v>AT 321 - tynk mineralny biały kornik 2 mm</v>
      </c>
      <c r="B24" s="118"/>
      <c r="C24" s="42">
        <v>25</v>
      </c>
      <c r="D24" s="43" t="s">
        <v>4</v>
      </c>
      <c r="E24" s="52">
        <f t="shared" si="0"/>
        <v>0</v>
      </c>
      <c r="F24" s="45">
        <f>E24*(1-Kalkulator!I$4)*(1+Kalkulator!I$5)</f>
        <v>0</v>
      </c>
      <c r="G24" s="59">
        <v>3</v>
      </c>
      <c r="H24" s="4" t="str">
        <f t="shared" si="2"/>
        <v>AG 701 - grunt pod tynki mineralne i silikonowe</v>
      </c>
      <c r="I24" s="4">
        <v>1</v>
      </c>
      <c r="J24" s="30"/>
      <c r="K24" s="30"/>
      <c r="L24" s="30"/>
      <c r="M24" s="30"/>
      <c r="N24" s="30"/>
    </row>
    <row r="25" spans="1:15">
      <c r="A25" s="41" t="str">
        <f>Kalkulator!B187</f>
        <v>AT 325 - tynk mineralny extra biały baranek 1,5 mm</v>
      </c>
      <c r="B25" s="118">
        <v>69.5</v>
      </c>
      <c r="C25" s="42">
        <v>25</v>
      </c>
      <c r="D25" s="43" t="s">
        <v>4</v>
      </c>
      <c r="E25" s="52">
        <f t="shared" si="0"/>
        <v>2.78</v>
      </c>
      <c r="F25" s="45">
        <f>E25*(1-Kalkulator!I$4)*(1+Kalkulator!I$5)</f>
        <v>2.78</v>
      </c>
      <c r="G25" s="59">
        <v>2</v>
      </c>
      <c r="H25" s="4" t="str">
        <f t="shared" si="2"/>
        <v>AG 701 - grunt pod tynki mineralne i silikonowe</v>
      </c>
      <c r="I25" s="4">
        <v>0.95</v>
      </c>
      <c r="J25" s="30"/>
      <c r="K25" s="30"/>
      <c r="L25" s="30"/>
      <c r="M25" s="30"/>
      <c r="N25" s="30"/>
    </row>
    <row r="26" spans="1:15">
      <c r="A26" s="41" t="str">
        <f>Kalkulator!B188</f>
        <v>AT 326 - tynk mineralny extra biały baranek 2 mm</v>
      </c>
      <c r="B26" s="118"/>
      <c r="C26" s="42">
        <v>25</v>
      </c>
      <c r="D26" s="43" t="s">
        <v>4</v>
      </c>
      <c r="E26" s="52">
        <f t="shared" si="0"/>
        <v>0</v>
      </c>
      <c r="F26" s="45">
        <f>E26*(1-Kalkulator!I$4)*(1+Kalkulator!I$5)</f>
        <v>0</v>
      </c>
      <c r="G26" s="59">
        <v>3</v>
      </c>
      <c r="H26" s="4" t="str">
        <f t="shared" si="2"/>
        <v>AG 701 - grunt pod tynki mineralne i silikonowe</v>
      </c>
      <c r="I26" s="4">
        <v>1</v>
      </c>
      <c r="J26" s="30"/>
      <c r="K26" s="30"/>
      <c r="L26" s="30"/>
      <c r="M26" s="30"/>
      <c r="N26" s="30"/>
    </row>
    <row r="27" spans="1:15">
      <c r="A27" s="41" t="str">
        <f>Kalkulator!B189</f>
        <v>AT 327 - tynk mineralny extra biały baranek 2,5 mm</v>
      </c>
      <c r="B27" s="118"/>
      <c r="C27" s="42">
        <v>25</v>
      </c>
      <c r="D27" s="43" t="s">
        <v>4</v>
      </c>
      <c r="E27" s="52">
        <f t="shared" si="0"/>
        <v>0</v>
      </c>
      <c r="F27" s="45">
        <f>E27*(1-Kalkulator!I$4)*(1+Kalkulator!I$5)</f>
        <v>0</v>
      </c>
      <c r="G27" s="59">
        <v>3.5</v>
      </c>
      <c r="H27" s="4" t="str">
        <f t="shared" si="2"/>
        <v>AG 701 - grunt pod tynki mineralne i silikonowe</v>
      </c>
      <c r="I27" s="4">
        <v>1.05</v>
      </c>
      <c r="J27" s="30"/>
      <c r="K27" s="30"/>
      <c r="L27" s="30"/>
      <c r="M27" s="30"/>
      <c r="N27" s="30"/>
    </row>
    <row r="28" spans="1:15">
      <c r="A28" s="41" t="str">
        <f>Kalkulator!B190</f>
        <v>AT 330 - tynk mineralny szary baranek 1,5 mm</v>
      </c>
      <c r="B28" s="118">
        <v>49.25</v>
      </c>
      <c r="C28" s="42">
        <v>25</v>
      </c>
      <c r="D28" s="43" t="s">
        <v>4</v>
      </c>
      <c r="E28" s="52">
        <f t="shared" si="0"/>
        <v>1.97</v>
      </c>
      <c r="F28" s="45">
        <f>E28*(1-Kalkulator!I$4)*(1+Kalkulator!I$5)</f>
        <v>1.97</v>
      </c>
      <c r="G28" s="59">
        <v>2</v>
      </c>
      <c r="H28" s="4" t="str">
        <f t="shared" si="2"/>
        <v>AG 701 - grunt pod tynki mineralne i silikonowe</v>
      </c>
      <c r="I28" s="4">
        <v>0.95</v>
      </c>
      <c r="J28" s="30"/>
      <c r="K28" s="30"/>
      <c r="L28" s="30"/>
      <c r="M28" s="30"/>
      <c r="N28" s="30"/>
    </row>
    <row r="29" spans="1:15">
      <c r="A29" s="41" t="str">
        <f>Kalkulator!B191</f>
        <v>AT 330 - tynk mineralny szary baranek 2 mm</v>
      </c>
      <c r="B29" s="118"/>
      <c r="C29" s="42">
        <v>25</v>
      </c>
      <c r="D29" s="43" t="s">
        <v>4</v>
      </c>
      <c r="E29" s="52">
        <f t="shared" si="0"/>
        <v>0</v>
      </c>
      <c r="F29" s="45">
        <f>E29*(1-Kalkulator!I$4)*(1+Kalkulator!I$5)</f>
        <v>0</v>
      </c>
      <c r="G29" s="59">
        <v>2.5</v>
      </c>
      <c r="H29" s="4" t="str">
        <f t="shared" si="2"/>
        <v>AG 701 - grunt pod tynki mineralne i silikonowe</v>
      </c>
      <c r="I29" s="4">
        <v>1</v>
      </c>
      <c r="J29" s="412" t="s">
        <v>675</v>
      </c>
      <c r="K29" s="413"/>
      <c r="L29" s="413"/>
      <c r="M29" s="413"/>
      <c r="N29" s="414"/>
    </row>
    <row r="30" spans="1:15">
      <c r="A30" s="41" t="str">
        <f>Kalkulator!B193</f>
        <v>AT 350 - tynk akrylowy baranek 1 mm</v>
      </c>
      <c r="B30" s="118">
        <v>228.75</v>
      </c>
      <c r="C30" s="42">
        <v>25</v>
      </c>
      <c r="D30" s="43" t="s">
        <v>4</v>
      </c>
      <c r="E30" s="52">
        <f t="shared" si="0"/>
        <v>9.15</v>
      </c>
      <c r="F30" s="45">
        <f>E30*(1-Kalkulator!I$4)*(1+Kalkulator!I$5)</f>
        <v>9.15</v>
      </c>
      <c r="G30" s="59">
        <v>1.7</v>
      </c>
      <c r="H30" s="4" t="str">
        <f t="shared" ref="H30:H33" si="3">$A$12</f>
        <v>AG 705 - grunt pod tynki akrylowe</v>
      </c>
      <c r="I30" s="4">
        <v>0</v>
      </c>
      <c r="J30" s="107">
        <v>0</v>
      </c>
      <c r="K30" s="107">
        <v>0</v>
      </c>
      <c r="L30" s="107">
        <v>7.4300000000000005E-2</v>
      </c>
      <c r="M30" s="107">
        <v>0.153</v>
      </c>
      <c r="N30" s="107">
        <v>0</v>
      </c>
    </row>
    <row r="31" spans="1:15">
      <c r="A31" s="41" t="str">
        <f>Kalkulator!B194</f>
        <v>AT 351 - tynk akrylowy baranek 1,5 mm</v>
      </c>
      <c r="B31" s="118">
        <v>228.75</v>
      </c>
      <c r="C31" s="42">
        <v>25</v>
      </c>
      <c r="D31" s="43" t="s">
        <v>4</v>
      </c>
      <c r="E31" s="52">
        <f t="shared" si="0"/>
        <v>9.15</v>
      </c>
      <c r="F31" s="45">
        <f>E31*(1-Kalkulator!I$4)*(1+Kalkulator!I$5)</f>
        <v>9.15</v>
      </c>
      <c r="G31" s="59">
        <v>2.5</v>
      </c>
      <c r="H31" s="4" t="str">
        <f t="shared" si="3"/>
        <v>AG 705 - grunt pod tynki akrylowe</v>
      </c>
      <c r="I31" s="4">
        <v>0</v>
      </c>
      <c r="J31" s="108">
        <v>0</v>
      </c>
      <c r="K31" s="108">
        <v>0</v>
      </c>
      <c r="L31" s="108">
        <v>7.4300000000000005E-2</v>
      </c>
      <c r="M31" s="108">
        <v>0.153</v>
      </c>
      <c r="N31" s="108">
        <v>0</v>
      </c>
    </row>
    <row r="32" spans="1:15">
      <c r="A32" s="41" t="str">
        <f>Kalkulator!B195</f>
        <v>AT 352 - tynk akrylowy baranek 2 mm</v>
      </c>
      <c r="B32" s="118">
        <v>228.75</v>
      </c>
      <c r="C32" s="42">
        <v>25</v>
      </c>
      <c r="D32" s="43" t="s">
        <v>4</v>
      </c>
      <c r="E32" s="52">
        <f t="shared" si="0"/>
        <v>9.15</v>
      </c>
      <c r="F32" s="45">
        <f>E32*(1-Kalkulator!I$4)*(1+Kalkulator!I$5)</f>
        <v>9.15</v>
      </c>
      <c r="G32" s="59">
        <v>3.2</v>
      </c>
      <c r="H32" s="4" t="str">
        <f t="shared" si="3"/>
        <v>AG 705 - grunt pod tynki akrylowe</v>
      </c>
      <c r="I32" s="4">
        <v>0</v>
      </c>
      <c r="J32" s="108">
        <v>0</v>
      </c>
      <c r="K32" s="108">
        <v>0</v>
      </c>
      <c r="L32" s="108">
        <v>7.4300000000000005E-2</v>
      </c>
      <c r="M32" s="108">
        <v>0.153</v>
      </c>
      <c r="N32" s="108">
        <v>0</v>
      </c>
    </row>
    <row r="33" spans="1:14">
      <c r="A33" s="41" t="str">
        <f>Kalkulator!B196</f>
        <v>AT 357 - tynk akrylowy kornik 2 mm</v>
      </c>
      <c r="B33" s="118">
        <v>228.75</v>
      </c>
      <c r="C33" s="42">
        <v>25</v>
      </c>
      <c r="D33" s="43" t="s">
        <v>4</v>
      </c>
      <c r="E33" s="52">
        <f t="shared" si="0"/>
        <v>9.15</v>
      </c>
      <c r="F33" s="45">
        <f>E33*(1-Kalkulator!I$4)*(1+Kalkulator!I$5)</f>
        <v>9.15</v>
      </c>
      <c r="G33" s="59">
        <v>2.5</v>
      </c>
      <c r="H33" s="4" t="str">
        <f t="shared" si="3"/>
        <v>AG 705 - grunt pod tynki akrylowe</v>
      </c>
      <c r="I33" s="4">
        <v>0</v>
      </c>
      <c r="J33" s="108">
        <v>0</v>
      </c>
      <c r="K33" s="108">
        <v>0</v>
      </c>
      <c r="L33" s="108">
        <v>7.4300000000000005E-2</v>
      </c>
      <c r="M33" s="108">
        <v>0.153</v>
      </c>
      <c r="N33" s="108">
        <v>0</v>
      </c>
    </row>
    <row r="34" spans="1:14">
      <c r="A34" s="41" t="str">
        <f>Kalkulator!B197</f>
        <v>AT 360 - tynk silikonowy baranek 1 mm</v>
      </c>
      <c r="B34" s="118">
        <v>289</v>
      </c>
      <c r="C34" s="42">
        <v>25</v>
      </c>
      <c r="D34" s="43" t="s">
        <v>4</v>
      </c>
      <c r="E34" s="52">
        <f t="shared" si="0"/>
        <v>11.56</v>
      </c>
      <c r="F34" s="45">
        <f>E34*(1-Kalkulator!I$4)*(1+Kalkulator!I$5)</f>
        <v>11.56</v>
      </c>
      <c r="G34" s="59">
        <v>2.5</v>
      </c>
      <c r="H34" s="4" t="str">
        <f t="shared" ref="H34:H37" si="4">$A$11</f>
        <v>AG 701 - grunt pod tynki mineralne i silikonowe</v>
      </c>
      <c r="I34" s="4">
        <v>0</v>
      </c>
      <c r="J34" s="108">
        <v>0</v>
      </c>
      <c r="K34" s="108">
        <v>0</v>
      </c>
      <c r="L34" s="108">
        <v>7.0000000000000007E-2</v>
      </c>
      <c r="M34" s="108">
        <v>0.15</v>
      </c>
      <c r="N34" s="108">
        <v>0</v>
      </c>
    </row>
    <row r="35" spans="1:14">
      <c r="A35" s="41" t="str">
        <f>Kalkulator!B198</f>
        <v>AT 361 - tynk silikonowy baranek 1,5 mm</v>
      </c>
      <c r="B35" s="118">
        <v>289</v>
      </c>
      <c r="C35" s="42">
        <v>25</v>
      </c>
      <c r="D35" s="43" t="s">
        <v>4</v>
      </c>
      <c r="E35" s="52">
        <f t="shared" si="0"/>
        <v>11.56</v>
      </c>
      <c r="F35" s="45">
        <f>E35*(1-Kalkulator!I$4)*(1+Kalkulator!I$5)</f>
        <v>11.56</v>
      </c>
      <c r="G35" s="59">
        <v>2.5</v>
      </c>
      <c r="H35" s="4" t="str">
        <f t="shared" si="4"/>
        <v>AG 701 - grunt pod tynki mineralne i silikonowe</v>
      </c>
      <c r="I35" s="4">
        <v>0</v>
      </c>
      <c r="J35" s="108">
        <v>0</v>
      </c>
      <c r="K35" s="108">
        <v>0</v>
      </c>
      <c r="L35" s="108">
        <v>7.0000000000000007E-2</v>
      </c>
      <c r="M35" s="108">
        <v>0.15</v>
      </c>
      <c r="N35" s="108">
        <v>0</v>
      </c>
    </row>
    <row r="36" spans="1:14">
      <c r="A36" s="41" t="str">
        <f>Kalkulator!B199</f>
        <v>AT 362 - tynk silikonowy baranek 2 mm</v>
      </c>
      <c r="B36" s="118">
        <v>289</v>
      </c>
      <c r="C36" s="42">
        <v>25</v>
      </c>
      <c r="D36" s="43" t="s">
        <v>4</v>
      </c>
      <c r="E36" s="52">
        <f t="shared" si="0"/>
        <v>11.56</v>
      </c>
      <c r="F36" s="45">
        <f>E36*(1-Kalkulator!I$4)*(1+Kalkulator!I$5)</f>
        <v>11.56</v>
      </c>
      <c r="G36" s="59">
        <v>2.5</v>
      </c>
      <c r="H36" s="4" t="str">
        <f t="shared" si="4"/>
        <v>AG 701 - grunt pod tynki mineralne i silikonowe</v>
      </c>
      <c r="I36" s="4">
        <v>0</v>
      </c>
      <c r="J36" s="108">
        <v>0</v>
      </c>
      <c r="K36" s="108">
        <v>0</v>
      </c>
      <c r="L36" s="108">
        <v>7.0000000000000007E-2</v>
      </c>
      <c r="M36" s="108">
        <v>0.15</v>
      </c>
      <c r="N36" s="108">
        <v>0</v>
      </c>
    </row>
    <row r="37" spans="1:14">
      <c r="A37" s="41" t="str">
        <f>Kalkulator!B200</f>
        <v>AT 367 - tynk silikonowy kornik 2 mm</v>
      </c>
      <c r="B37" s="118">
        <v>289</v>
      </c>
      <c r="C37" s="42">
        <v>25</v>
      </c>
      <c r="D37" s="43" t="s">
        <v>4</v>
      </c>
      <c r="E37" s="52">
        <f t="shared" si="0"/>
        <v>11.56</v>
      </c>
      <c r="F37" s="45">
        <f>E37*(1-Kalkulator!I$4)*(1+Kalkulator!I$5)</f>
        <v>11.56</v>
      </c>
      <c r="G37" s="59">
        <v>2.5</v>
      </c>
      <c r="H37" s="4" t="str">
        <f t="shared" si="4"/>
        <v>AG 701 - grunt pod tynki mineralne i silikonowe</v>
      </c>
      <c r="I37" s="4">
        <v>0</v>
      </c>
      <c r="J37" s="108">
        <v>0</v>
      </c>
      <c r="K37" s="108">
        <v>0</v>
      </c>
      <c r="L37" s="108">
        <v>7.0000000000000007E-2</v>
      </c>
      <c r="M37" s="108">
        <v>0.15</v>
      </c>
      <c r="N37" s="108">
        <v>0</v>
      </c>
    </row>
    <row r="38" spans="1:14">
      <c r="A38" s="41" t="str">
        <f>Kalkulator!B201</f>
        <v>AT 370 - tynk silikatowo-silikonowy baranek 1 mm</v>
      </c>
      <c r="B38" s="118">
        <v>254.75</v>
      </c>
      <c r="C38" s="42">
        <v>25</v>
      </c>
      <c r="D38" s="43" t="s">
        <v>4</v>
      </c>
      <c r="E38" s="52">
        <f t="shared" si="0"/>
        <v>10.19</v>
      </c>
      <c r="F38" s="45">
        <f>E38*(1-Kalkulator!I$4)*(1+Kalkulator!I$5)</f>
        <v>10.19</v>
      </c>
      <c r="G38" s="59">
        <v>1.7</v>
      </c>
      <c r="H38" s="4" t="str">
        <f t="shared" ref="H38:H41" si="5">$A$13</f>
        <v>AG 706 - grunt pod tynki krzemianowe</v>
      </c>
      <c r="I38" s="4">
        <v>0</v>
      </c>
      <c r="J38" s="108">
        <v>0</v>
      </c>
      <c r="K38" s="108">
        <v>0</v>
      </c>
      <c r="L38" s="108">
        <v>5.9900000000000002E-2</v>
      </c>
      <c r="M38" s="108">
        <v>0.1246</v>
      </c>
      <c r="N38" s="108">
        <v>0</v>
      </c>
    </row>
    <row r="39" spans="1:14">
      <c r="A39" s="41" t="str">
        <f>Kalkulator!B202</f>
        <v>AT 371 - tynk silikatowo-silikonowy baranek 1,5 mm</v>
      </c>
      <c r="B39" s="118">
        <v>254.75</v>
      </c>
      <c r="C39" s="42">
        <v>25</v>
      </c>
      <c r="D39" s="43" t="s">
        <v>4</v>
      </c>
      <c r="E39" s="52">
        <f t="shared" si="0"/>
        <v>10.19</v>
      </c>
      <c r="F39" s="45">
        <f>E39*(1-Kalkulator!I$4)*(1+Kalkulator!I$5)</f>
        <v>10.19</v>
      </c>
      <c r="G39" s="59">
        <v>2.5</v>
      </c>
      <c r="H39" s="4" t="str">
        <f t="shared" si="5"/>
        <v>AG 706 - grunt pod tynki krzemianowe</v>
      </c>
      <c r="I39" s="4">
        <v>0</v>
      </c>
      <c r="J39" s="108">
        <v>0</v>
      </c>
      <c r="K39" s="108">
        <v>0</v>
      </c>
      <c r="L39" s="108">
        <v>5.9900000000000002E-2</v>
      </c>
      <c r="M39" s="108">
        <v>0.1246</v>
      </c>
      <c r="N39" s="108">
        <v>0</v>
      </c>
    </row>
    <row r="40" spans="1:14">
      <c r="A40" s="41" t="str">
        <f>Kalkulator!B203</f>
        <v>AT 372 - tynk silikatowo-silikonowy baranek 2 mm</v>
      </c>
      <c r="B40" s="118">
        <v>254.75</v>
      </c>
      <c r="C40" s="42">
        <v>25</v>
      </c>
      <c r="D40" s="43" t="s">
        <v>4</v>
      </c>
      <c r="E40" s="52">
        <f t="shared" si="0"/>
        <v>10.19</v>
      </c>
      <c r="F40" s="45">
        <f>E40*(1-Kalkulator!I$4)*(1+Kalkulator!I$5)</f>
        <v>10.19</v>
      </c>
      <c r="G40" s="59">
        <v>3.2</v>
      </c>
      <c r="H40" s="4" t="str">
        <f t="shared" si="5"/>
        <v>AG 706 - grunt pod tynki krzemianowe</v>
      </c>
      <c r="I40" s="4">
        <v>0</v>
      </c>
      <c r="J40" s="108">
        <v>0</v>
      </c>
      <c r="K40" s="108">
        <v>0</v>
      </c>
      <c r="L40" s="108">
        <v>5.9900000000000002E-2</v>
      </c>
      <c r="M40" s="108">
        <v>0.1246</v>
      </c>
      <c r="N40" s="108">
        <v>0</v>
      </c>
    </row>
    <row r="41" spans="1:14">
      <c r="A41" s="41" t="str">
        <f>Kalkulator!B204</f>
        <v>AT 377 - tynk silikatowo-silikonowy kornik 2 mm</v>
      </c>
      <c r="B41" s="118">
        <v>254.75</v>
      </c>
      <c r="C41" s="42">
        <v>25</v>
      </c>
      <c r="D41" s="43" t="s">
        <v>4</v>
      </c>
      <c r="E41" s="52">
        <f t="shared" si="0"/>
        <v>10.19</v>
      </c>
      <c r="F41" s="45">
        <f>E41*(1-Kalkulator!I$4)*(1+Kalkulator!I$5)</f>
        <v>10.19</v>
      </c>
      <c r="G41" s="59">
        <v>2.5</v>
      </c>
      <c r="H41" s="4" t="str">
        <f t="shared" si="5"/>
        <v>AG 706 - grunt pod tynki krzemianowe</v>
      </c>
      <c r="I41" s="4">
        <v>0</v>
      </c>
      <c r="J41" s="108">
        <v>0</v>
      </c>
      <c r="K41" s="108">
        <v>0</v>
      </c>
      <c r="L41" s="108">
        <v>5.9900000000000002E-2</v>
      </c>
      <c r="M41" s="108">
        <v>0.1246</v>
      </c>
      <c r="N41" s="108">
        <v>0</v>
      </c>
    </row>
    <row r="42" spans="1:14">
      <c r="A42" s="41" t="str">
        <f>Kalkulator!B205</f>
        <v>AT 380 - tynk nanosilikonowy baranek 1 mm</v>
      </c>
      <c r="B42" s="118">
        <v>353.75</v>
      </c>
      <c r="C42" s="42">
        <v>25</v>
      </c>
      <c r="D42" s="43" t="s">
        <v>4</v>
      </c>
      <c r="E42" s="52">
        <f t="shared" si="0"/>
        <v>14.15</v>
      </c>
      <c r="F42" s="45">
        <f>E42*(1-Kalkulator!I$4)*(1+Kalkulator!I$5)</f>
        <v>14.15</v>
      </c>
      <c r="G42" s="59">
        <v>1.7</v>
      </c>
      <c r="H42" s="4" t="str">
        <f>$A$11</f>
        <v>AG 701 - grunt pod tynki mineralne i silikonowe</v>
      </c>
      <c r="I42" s="4">
        <v>0</v>
      </c>
      <c r="J42" s="108">
        <v>0</v>
      </c>
      <c r="K42" s="108">
        <v>0</v>
      </c>
      <c r="L42" s="108">
        <v>4.7300000000000002E-2</v>
      </c>
      <c r="M42" s="108">
        <v>9.3299999999999994E-2</v>
      </c>
      <c r="N42" s="108">
        <v>0</v>
      </c>
    </row>
    <row r="43" spans="1:14">
      <c r="A43" s="41" t="str">
        <f>Kalkulator!B206</f>
        <v>AT 381 - tynk nanosilikonowy baranek 1,5 mm</v>
      </c>
      <c r="B43" s="118">
        <v>353.75</v>
      </c>
      <c r="C43" s="42">
        <v>25</v>
      </c>
      <c r="D43" s="43" t="s">
        <v>4</v>
      </c>
      <c r="E43" s="52">
        <f t="shared" si="0"/>
        <v>14.15</v>
      </c>
      <c r="F43" s="45">
        <f>E43*(1-Kalkulator!I$4)*(1+Kalkulator!I$5)</f>
        <v>14.15</v>
      </c>
      <c r="G43" s="59">
        <v>2.5</v>
      </c>
      <c r="H43" s="4" t="str">
        <f t="shared" ref="H43:H45" si="6">$A$11</f>
        <v>AG 701 - grunt pod tynki mineralne i silikonowe</v>
      </c>
      <c r="I43" s="4">
        <v>0</v>
      </c>
      <c r="J43" s="108">
        <v>0</v>
      </c>
      <c r="K43" s="108">
        <v>0</v>
      </c>
      <c r="L43" s="108">
        <v>4.7300000000000002E-2</v>
      </c>
      <c r="M43" s="108">
        <v>9.3299999999999994E-2</v>
      </c>
      <c r="N43" s="108">
        <v>0</v>
      </c>
    </row>
    <row r="44" spans="1:14">
      <c r="A44" s="41" t="str">
        <f>Kalkulator!B207</f>
        <v>AT 382 - tynk nanosilikonowy baranek 2 mm</v>
      </c>
      <c r="B44" s="118">
        <v>353.75</v>
      </c>
      <c r="C44" s="42">
        <v>25</v>
      </c>
      <c r="D44" s="43" t="s">
        <v>4</v>
      </c>
      <c r="E44" s="52">
        <f t="shared" si="0"/>
        <v>14.15</v>
      </c>
      <c r="F44" s="45">
        <f>E44*(1-Kalkulator!I$4)*(1+Kalkulator!I$5)</f>
        <v>14.15</v>
      </c>
      <c r="G44" s="59">
        <v>3.2</v>
      </c>
      <c r="H44" s="4" t="str">
        <f t="shared" si="6"/>
        <v>AG 701 - grunt pod tynki mineralne i silikonowe</v>
      </c>
      <c r="I44" s="4">
        <v>0</v>
      </c>
      <c r="J44" s="108">
        <v>0</v>
      </c>
      <c r="K44" s="108">
        <v>0</v>
      </c>
      <c r="L44" s="108">
        <v>4.7300000000000002E-2</v>
      </c>
      <c r="M44" s="108">
        <v>9.3299999999999994E-2</v>
      </c>
      <c r="N44" s="108">
        <v>0</v>
      </c>
    </row>
    <row r="45" spans="1:14">
      <c r="A45" s="41" t="str">
        <f>Kalkulator!B208</f>
        <v>AT 387 - tynk nanosilikonowy kornik 2 mm</v>
      </c>
      <c r="B45" s="118">
        <v>353.75</v>
      </c>
      <c r="C45" s="42">
        <v>25</v>
      </c>
      <c r="D45" s="43" t="s">
        <v>4</v>
      </c>
      <c r="E45" s="52">
        <f t="shared" si="0"/>
        <v>14.15</v>
      </c>
      <c r="F45" s="45">
        <f>E45*(1-Kalkulator!I$4)*(1+Kalkulator!I$5)</f>
        <v>14.15</v>
      </c>
      <c r="G45" s="59">
        <v>2.5</v>
      </c>
      <c r="H45" s="4" t="str">
        <f t="shared" si="6"/>
        <v>AG 701 - grunt pod tynki mineralne i silikonowe</v>
      </c>
      <c r="I45" s="4">
        <v>0</v>
      </c>
      <c r="J45" s="108">
        <v>0</v>
      </c>
      <c r="K45" s="108">
        <v>0</v>
      </c>
      <c r="L45" s="108">
        <v>4.7300000000000002E-2</v>
      </c>
      <c r="M45" s="108">
        <v>9.3299999999999994E-2</v>
      </c>
      <c r="N45" s="108">
        <v>0</v>
      </c>
    </row>
    <row r="46" spans="1:14">
      <c r="A46" s="41" t="str">
        <f>Kalkulator!B209</f>
        <v>AT 390 - tynk mozaikowy naturalny SKIATOS</v>
      </c>
      <c r="B46" s="118">
        <v>418.25</v>
      </c>
      <c r="C46" s="42">
        <v>25</v>
      </c>
      <c r="D46" s="43" t="s">
        <v>4</v>
      </c>
      <c r="E46" s="52">
        <f t="shared" ref="E46:E48" si="7">B46/C46</f>
        <v>16.73</v>
      </c>
      <c r="F46" s="45">
        <v>9.5</v>
      </c>
      <c r="G46" s="59">
        <v>3.5</v>
      </c>
      <c r="H46" s="4" t="str">
        <f>$A$12</f>
        <v>AG 705 - grunt pod tynki akrylowe</v>
      </c>
      <c r="I46" s="4">
        <v>0</v>
      </c>
      <c r="J46" s="108">
        <v>0</v>
      </c>
      <c r="K46" s="108">
        <v>0</v>
      </c>
      <c r="L46" s="108">
        <v>0</v>
      </c>
      <c r="M46" s="108">
        <v>0</v>
      </c>
      <c r="N46" s="108">
        <v>0</v>
      </c>
    </row>
    <row r="47" spans="1:14">
      <c r="A47" s="41" t="str">
        <f>Kalkulator!B210</f>
        <v>AT 391 - tynk mozaikowy naturalny MILOS, KOMODO</v>
      </c>
      <c r="B47" s="118">
        <v>418.25</v>
      </c>
      <c r="C47" s="42">
        <v>25</v>
      </c>
      <c r="D47" s="43" t="s">
        <v>4</v>
      </c>
      <c r="E47" s="52">
        <f t="shared" si="7"/>
        <v>16.73</v>
      </c>
      <c r="F47" s="45">
        <v>9.5</v>
      </c>
      <c r="G47" s="59">
        <v>5.5</v>
      </c>
      <c r="H47" s="4" t="str">
        <f>$A$12</f>
        <v>AG 705 - grunt pod tynki akrylowe</v>
      </c>
      <c r="I47" s="4">
        <v>0</v>
      </c>
      <c r="J47" s="108">
        <v>0</v>
      </c>
      <c r="K47" s="108">
        <v>0</v>
      </c>
      <c r="L47" s="108">
        <v>0</v>
      </c>
      <c r="M47" s="108">
        <v>0</v>
      </c>
      <c r="N47" s="108">
        <v>0</v>
      </c>
    </row>
    <row r="48" spans="1:14">
      <c r="A48" s="41" t="str">
        <f>Kalkulator!B212</f>
        <v>AT 397 - tynk mozaikowy barwiony EXPRESS</v>
      </c>
      <c r="B48" s="118">
        <v>289.5</v>
      </c>
      <c r="C48" s="42">
        <v>25</v>
      </c>
      <c r="D48" s="43" t="s">
        <v>4</v>
      </c>
      <c r="E48" s="52">
        <f t="shared" si="7"/>
        <v>11.58</v>
      </c>
      <c r="F48" s="45">
        <v>9</v>
      </c>
      <c r="G48" s="59">
        <v>4</v>
      </c>
      <c r="H48" s="4" t="str">
        <f>$A$12</f>
        <v>AG 705 - grunt pod tynki akrylowe</v>
      </c>
      <c r="I48" s="4">
        <v>0</v>
      </c>
      <c r="J48" s="108">
        <v>0</v>
      </c>
      <c r="K48" s="108">
        <v>0</v>
      </c>
      <c r="L48" s="108">
        <v>0</v>
      </c>
      <c r="M48" s="108">
        <v>0</v>
      </c>
      <c r="N48" s="108">
        <v>0</v>
      </c>
    </row>
    <row r="49" spans="1:16">
      <c r="A49" s="41" t="str">
        <f>Kalkulator!B213</f>
        <v>AT 398 - tynk moazikowy dekoracyjny CREATIVO</v>
      </c>
      <c r="B49" s="118">
        <v>560</v>
      </c>
      <c r="C49" s="42">
        <v>25</v>
      </c>
      <c r="D49" s="43" t="s">
        <v>4</v>
      </c>
      <c r="E49" s="52">
        <f t="shared" si="0"/>
        <v>22.4</v>
      </c>
      <c r="F49" s="45">
        <f>E49*(1-Kalkulator!I$4)*(1+Kalkulator!I$5)</f>
        <v>22.4</v>
      </c>
      <c r="G49" s="59">
        <v>3.5</v>
      </c>
      <c r="H49" s="4" t="str">
        <f>$A$12</f>
        <v>AG 705 - grunt pod tynki akrylowe</v>
      </c>
      <c r="I49" s="4">
        <v>0</v>
      </c>
      <c r="J49" s="108">
        <v>0</v>
      </c>
      <c r="K49" s="108">
        <v>0</v>
      </c>
      <c r="L49" s="108">
        <v>0</v>
      </c>
      <c r="M49" s="108">
        <v>0</v>
      </c>
      <c r="N49" s="108">
        <v>0</v>
      </c>
    </row>
    <row r="50" spans="1:16">
      <c r="A50" s="41" t="str">
        <f>Kalkulator!B214</f>
        <v>SW 145 - siatka z włókna szklanego</v>
      </c>
      <c r="B50" s="118">
        <v>250</v>
      </c>
      <c r="C50" s="42">
        <v>50</v>
      </c>
      <c r="D50" s="97" t="s">
        <v>3</v>
      </c>
      <c r="E50" s="52">
        <f t="shared" si="0"/>
        <v>5</v>
      </c>
      <c r="F50" s="45">
        <f>E50*(1-Kalkulator!I$4)*(1+Kalkulator!I$5)</f>
        <v>5</v>
      </c>
      <c r="G50" s="59">
        <v>5.5</v>
      </c>
      <c r="H50" s="4"/>
      <c r="I50" s="4">
        <v>0</v>
      </c>
      <c r="J50" s="108">
        <v>0</v>
      </c>
      <c r="K50" s="108">
        <v>0</v>
      </c>
      <c r="L50" s="108">
        <v>0</v>
      </c>
      <c r="M50" s="108">
        <v>0</v>
      </c>
      <c r="N50" s="108">
        <v>0</v>
      </c>
    </row>
    <row r="51" spans="1:16">
      <c r="A51" s="41" t="str">
        <f>Kalkulator!B215</f>
        <v>SW 160 - siatka z włókna szklanego</v>
      </c>
      <c r="B51" s="120">
        <v>270</v>
      </c>
      <c r="C51" s="42">
        <v>50</v>
      </c>
      <c r="D51" s="97" t="s">
        <v>3</v>
      </c>
      <c r="E51" s="52">
        <f t="shared" si="0"/>
        <v>5.4</v>
      </c>
      <c r="F51" s="45">
        <f>E51*(1-Kalkulator!I$4)*(1+Kalkulator!I$5)</f>
        <v>5.4</v>
      </c>
      <c r="G51" s="59">
        <v>5.5</v>
      </c>
      <c r="H51" s="4"/>
      <c r="I51" s="4">
        <v>0</v>
      </c>
      <c r="J51" s="108">
        <v>0</v>
      </c>
      <c r="K51" s="108">
        <v>0</v>
      </c>
      <c r="L51" s="108">
        <v>0</v>
      </c>
      <c r="M51" s="108">
        <v>0</v>
      </c>
      <c r="N51" s="108">
        <v>0</v>
      </c>
    </row>
    <row r="52" spans="1:16">
      <c r="B52" s="1"/>
      <c r="C52" s="2"/>
      <c r="J52" s="84"/>
    </row>
    <row r="53" spans="1:16" hidden="1">
      <c r="E53" s="53" t="s">
        <v>8</v>
      </c>
      <c r="F53" s="54"/>
      <c r="H53" s="9"/>
      <c r="I53" s="10" t="s">
        <v>594</v>
      </c>
      <c r="J53" s="10" t="s">
        <v>594</v>
      </c>
      <c r="K53" s="10" t="s">
        <v>592</v>
      </c>
      <c r="L53" s="10" t="s">
        <v>447</v>
      </c>
      <c r="M53" s="10"/>
      <c r="N53" s="10"/>
      <c r="O53" s="10"/>
      <c r="P53" s="10"/>
    </row>
    <row r="54" spans="1:16" hidden="1">
      <c r="E54" s="60">
        <f ca="1">TODAY()</f>
        <v>45300</v>
      </c>
      <c r="F54" s="55"/>
      <c r="H54" s="11" t="s">
        <v>9</v>
      </c>
      <c r="I54" s="10" t="s">
        <v>595</v>
      </c>
      <c r="J54" s="10" t="s">
        <v>596</v>
      </c>
      <c r="K54" s="10" t="s">
        <v>593</v>
      </c>
      <c r="L54" s="10" t="s">
        <v>448</v>
      </c>
      <c r="M54" s="10"/>
      <c r="N54" s="10"/>
      <c r="O54" s="10"/>
      <c r="P54" s="10"/>
    </row>
    <row r="55" spans="1:16" hidden="1">
      <c r="E55" s="55"/>
      <c r="F55" s="55"/>
      <c r="H55" s="9" t="str">
        <f>Kalkulator!B98</f>
        <v>beton zwykły</v>
      </c>
      <c r="I55" s="124">
        <v>1</v>
      </c>
      <c r="J55" s="124">
        <v>1.7</v>
      </c>
      <c r="K55" s="12" t="s">
        <v>480</v>
      </c>
      <c r="L55" s="113" t="str">
        <f>Kalkulator!B146</f>
        <v>łącznik z trzpieniem wbijanym lub wkręcanym</v>
      </c>
      <c r="M55" s="113"/>
      <c r="N55" s="113"/>
      <c r="O55" s="10"/>
      <c r="P55" s="10"/>
    </row>
    <row r="56" spans="1:16" hidden="1">
      <c r="A56" s="71" t="s">
        <v>93</v>
      </c>
      <c r="B56" s="123" t="s">
        <v>634</v>
      </c>
      <c r="C56" s="123" t="s">
        <v>635</v>
      </c>
      <c r="E56" s="53" t="s">
        <v>2</v>
      </c>
      <c r="F56" s="56">
        <f>IF(Kalkulator!I2=E59,(1+D1),IF(Kalkulator!I2=E60,1/Kalkulator!I3,1))</f>
        <v>1</v>
      </c>
      <c r="H56" s="9" t="str">
        <f>Kalkulator!B99</f>
        <v>cegła pełna</v>
      </c>
      <c r="I56" s="124">
        <v>0.77</v>
      </c>
      <c r="J56" s="124">
        <v>0.9</v>
      </c>
      <c r="K56" s="12" t="s">
        <v>481</v>
      </c>
      <c r="L56" s="113" t="str">
        <f>Kalkulator!B146</f>
        <v>łącznik z trzpieniem wbijanym lub wkręcanym</v>
      </c>
      <c r="M56" s="113"/>
      <c r="N56" s="113"/>
      <c r="O56" s="10"/>
      <c r="P56" s="10"/>
    </row>
    <row r="57" spans="1:16" hidden="1">
      <c r="A57" s="72" t="str">
        <f>Kalkulator!B140</f>
        <v>styropian fasadowy EPS 038÷042</v>
      </c>
      <c r="B57" s="129">
        <v>3.7999999999999999E-2</v>
      </c>
      <c r="C57" s="129">
        <v>4.2000000000000003E-2</v>
      </c>
      <c r="E57" s="53" t="s">
        <v>103</v>
      </c>
      <c r="F57" s="56">
        <f>IF(Kalkulator!I2=E60,Kalkulator!I3,1)</f>
        <v>1</v>
      </c>
      <c r="H57" s="9" t="str">
        <f>Kalkulator!B100</f>
        <v>cegła ceramiczna szczelinowa</v>
      </c>
      <c r="I57" s="124">
        <v>0.56000000000000005</v>
      </c>
      <c r="J57" s="124">
        <v>0.62</v>
      </c>
      <c r="K57" s="12" t="s">
        <v>482</v>
      </c>
      <c r="L57" s="113" t="str">
        <f>Kalkulator!B146</f>
        <v>łącznik z trzpieniem wbijanym lub wkręcanym</v>
      </c>
      <c r="M57" s="113"/>
      <c r="N57" s="113"/>
      <c r="O57" s="10"/>
      <c r="P57" s="10"/>
    </row>
    <row r="58" spans="1:16" hidden="1">
      <c r="A58" s="72" t="str">
        <f>Kalkulator!B141</f>
        <v>styropian fasadowy EPS 034÷037</v>
      </c>
      <c r="B58" s="129">
        <v>3.4000000000000002E-2</v>
      </c>
      <c r="C58" s="129">
        <v>3.6999999999999998E-2</v>
      </c>
      <c r="E58" s="27" t="s">
        <v>99</v>
      </c>
      <c r="H58" s="9" t="str">
        <f>Kalkulator!B101</f>
        <v>cegła silikatowa szczelinowa</v>
      </c>
      <c r="I58" s="124">
        <v>0.75</v>
      </c>
      <c r="J58" s="124">
        <v>0.8</v>
      </c>
      <c r="K58" s="12" t="s">
        <v>482</v>
      </c>
      <c r="L58" s="113" t="str">
        <f>Kalkulator!B146</f>
        <v>łącznik z trzpieniem wbijanym lub wkręcanym</v>
      </c>
      <c r="M58" s="113"/>
      <c r="N58" s="113"/>
      <c r="O58" s="10"/>
      <c r="P58" s="10"/>
    </row>
    <row r="59" spans="1:16" hidden="1">
      <c r="A59" s="72" t="str">
        <f>Kalkulator!B142</f>
        <v>styropian grafitowy EPS 031÷033</v>
      </c>
      <c r="B59" s="129">
        <v>3.1E-2</v>
      </c>
      <c r="C59" s="129">
        <v>3.3000000000000002E-2</v>
      </c>
      <c r="E59" s="27" t="s">
        <v>100</v>
      </c>
      <c r="H59" s="9" t="str">
        <f>Kalkulator!B102</f>
        <v>pustak z ceramiki poryzowanej</v>
      </c>
      <c r="I59" s="124">
        <v>0.2</v>
      </c>
      <c r="J59" s="124">
        <v>0.3</v>
      </c>
      <c r="K59" s="12" t="s">
        <v>482</v>
      </c>
      <c r="L59" s="113" t="str">
        <f>Kalkulator!B146</f>
        <v>łącznik z trzpieniem wbijanym lub wkręcanym</v>
      </c>
      <c r="M59" s="113"/>
      <c r="N59" s="113"/>
      <c r="O59" s="10"/>
      <c r="P59" s="10"/>
    </row>
    <row r="60" spans="1:16" hidden="1">
      <c r="A60" s="72" t="str">
        <f>Kalkulator!B143</f>
        <v>polistyren XPS 033÷038</v>
      </c>
      <c r="B60" s="129">
        <v>3.3000000000000002E-2</v>
      </c>
      <c r="C60" s="129">
        <v>3.7999999999999999E-2</v>
      </c>
      <c r="E60" s="27" t="s">
        <v>101</v>
      </c>
      <c r="H60" s="9" t="str">
        <f>Kalkulator!B103</f>
        <v>bloczki z betonu lekkiego</v>
      </c>
      <c r="I60" s="124">
        <v>0.5</v>
      </c>
      <c r="J60" s="124">
        <v>1</v>
      </c>
      <c r="K60" s="12" t="s">
        <v>483</v>
      </c>
      <c r="L60" s="113" t="str">
        <f>Kalkulator!B147</f>
        <v>łącznik z trzpieniem wkręcanym</v>
      </c>
      <c r="M60" s="113"/>
      <c r="N60" s="113"/>
      <c r="O60" s="10"/>
      <c r="P60" s="10"/>
    </row>
    <row r="61" spans="1:16" hidden="1">
      <c r="H61" s="9" t="str">
        <f>Kalkulator!B104</f>
        <v>bloczki z betonu komórkowego</v>
      </c>
      <c r="I61" s="124">
        <v>0.13</v>
      </c>
      <c r="J61" s="124">
        <v>0.2</v>
      </c>
      <c r="K61" s="12" t="s">
        <v>484</v>
      </c>
      <c r="L61" s="113" t="str">
        <f>Kalkulator!B147</f>
        <v>łącznik z trzpieniem wkręcanym</v>
      </c>
      <c r="M61" s="113"/>
      <c r="N61" s="113"/>
      <c r="O61" s="10"/>
      <c r="P61" s="10"/>
    </row>
    <row r="62" spans="1:16" hidden="1">
      <c r="A62" s="69" t="s">
        <v>92</v>
      </c>
      <c r="E62" s="57" t="s">
        <v>14</v>
      </c>
      <c r="F62" s="57" t="s">
        <v>14</v>
      </c>
    </row>
    <row r="63" spans="1:16" hidden="1">
      <c r="A63" s="70" t="str">
        <f>A15</f>
        <v>AK 527 - klej do ociepleń na styropianie STANDARD</v>
      </c>
      <c r="E63" s="58" t="s">
        <v>602</v>
      </c>
      <c r="F63" s="58" t="s">
        <v>15</v>
      </c>
      <c r="H63" s="13"/>
      <c r="I63" s="14" t="s">
        <v>11</v>
      </c>
      <c r="J63" s="14" t="s">
        <v>13</v>
      </c>
    </row>
    <row r="64" spans="1:16" hidden="1">
      <c r="A64" s="70" t="str">
        <f>A17</f>
        <v>AK 531 - klej do ociepleń BIAŁY</v>
      </c>
      <c r="E64" s="68">
        <v>15</v>
      </c>
      <c r="F64" s="68">
        <v>0</v>
      </c>
      <c r="H64" s="15" t="s">
        <v>10</v>
      </c>
      <c r="I64" s="14" t="s">
        <v>12</v>
      </c>
      <c r="J64" s="14" t="s">
        <v>633</v>
      </c>
    </row>
    <row r="65" spans="1:19" hidden="1">
      <c r="A65" s="70" t="str">
        <f>A18</f>
        <v>AK 532 - klej do ociepleń PREMIUM</v>
      </c>
      <c r="E65" s="68">
        <v>16</v>
      </c>
      <c r="F65" s="68">
        <v>1</v>
      </c>
      <c r="H65" s="13" t="str">
        <f>Kalkulator!B91</f>
        <v>bez tynku - wysokość do 12 m.</v>
      </c>
      <c r="I65" s="13">
        <v>0</v>
      </c>
      <c r="J65" s="13">
        <v>0</v>
      </c>
    </row>
    <row r="66" spans="1:19" hidden="1">
      <c r="A66" s="70" t="str">
        <f>A19</f>
        <v>AK 534 - klej do ociepleń ZIMOWY</v>
      </c>
      <c r="E66" s="68">
        <v>17</v>
      </c>
      <c r="F66" s="68">
        <v>2</v>
      </c>
      <c r="H66" s="13" t="str">
        <f>Kalkulator!B92</f>
        <v>bez tynku - wysokość od 12 do 20 m.</v>
      </c>
      <c r="I66" s="13">
        <v>6</v>
      </c>
      <c r="J66" s="13">
        <v>0</v>
      </c>
    </row>
    <row r="67" spans="1:19" hidden="1">
      <c r="E67" s="68">
        <v>18</v>
      </c>
      <c r="F67" s="68">
        <v>3</v>
      </c>
      <c r="H67" s="13" t="str">
        <f>Kalkulator!B93</f>
        <v>bez tynku - wysokość od 20 do 25 m.</v>
      </c>
      <c r="I67" s="13">
        <v>8</v>
      </c>
      <c r="J67" s="13">
        <v>0</v>
      </c>
    </row>
    <row r="68" spans="1:19" hidden="1">
      <c r="A68" s="7" t="s">
        <v>6</v>
      </c>
      <c r="B68" s="110" t="s">
        <v>446</v>
      </c>
      <c r="E68" s="68">
        <v>19</v>
      </c>
      <c r="F68" s="68">
        <v>4</v>
      </c>
      <c r="H68" s="13" t="str">
        <f>Kalkulator!B94</f>
        <v>z tynkiem - wysokość do 12 m.</v>
      </c>
      <c r="I68" s="13">
        <v>4</v>
      </c>
      <c r="J68" s="13">
        <v>2</v>
      </c>
    </row>
    <row r="69" spans="1:19" hidden="1">
      <c r="A69" s="8" t="str">
        <f>Kalkulator!B127</f>
        <v>biały - bez dopłaty</v>
      </c>
      <c r="B69" s="111">
        <v>10</v>
      </c>
      <c r="E69" s="68">
        <v>20</v>
      </c>
      <c r="F69" s="68">
        <v>5</v>
      </c>
      <c r="H69" s="13" t="str">
        <f>Kalkulator!B95</f>
        <v>z tynkiem - wysokość od 12 do 20 m.</v>
      </c>
      <c r="I69" s="13">
        <v>6</v>
      </c>
      <c r="J69" s="13">
        <v>2</v>
      </c>
    </row>
    <row r="70" spans="1:19" hidden="1">
      <c r="A70" s="8" t="str">
        <f>Kalkulator!B128</f>
        <v>grupa I - kolory pastelowe</v>
      </c>
      <c r="B70" s="111">
        <v>11</v>
      </c>
      <c r="E70" s="68">
        <v>21</v>
      </c>
      <c r="F70" s="68">
        <v>6</v>
      </c>
      <c r="H70" s="13" t="str">
        <f>Kalkulator!B96</f>
        <v>z tynkiem - wysokość od 20 do 25 m.</v>
      </c>
      <c r="I70" s="13">
        <v>8</v>
      </c>
      <c r="J70" s="13">
        <v>2</v>
      </c>
    </row>
    <row r="71" spans="1:19" hidden="1">
      <c r="A71" s="8" t="str">
        <f>Kalkulator!B129</f>
        <v>grupa II - kolory średnio intensywne</v>
      </c>
      <c r="B71" s="111">
        <v>12</v>
      </c>
      <c r="E71" s="68">
        <v>22</v>
      </c>
      <c r="F71" s="68">
        <v>7</v>
      </c>
    </row>
    <row r="72" spans="1:19" hidden="1">
      <c r="A72" s="8" t="str">
        <f>Kalkulator!B130</f>
        <v>grupa III - kolory ciemne i nasycone</v>
      </c>
      <c r="B72" s="111">
        <v>13</v>
      </c>
      <c r="E72" s="68">
        <v>23</v>
      </c>
      <c r="F72" s="68">
        <v>8</v>
      </c>
    </row>
    <row r="73" spans="1:19" hidden="1">
      <c r="A73" s="8" t="str">
        <f>Kalkulator!B131</f>
        <v>grupa IV - wycena indywidualna</v>
      </c>
      <c r="B73" s="111">
        <v>14</v>
      </c>
      <c r="E73" s="68">
        <v>24</v>
      </c>
      <c r="F73" s="68">
        <v>9</v>
      </c>
      <c r="I73" s="77" t="s">
        <v>98</v>
      </c>
    </row>
    <row r="74" spans="1:19" hidden="1">
      <c r="E74" s="68">
        <v>25</v>
      </c>
      <c r="F74" s="68">
        <v>10</v>
      </c>
      <c r="I74" s="75" t="s">
        <v>396</v>
      </c>
      <c r="J74" s="3">
        <v>1</v>
      </c>
    </row>
    <row r="75" spans="1:19" hidden="1">
      <c r="A75" s="5" t="s">
        <v>512</v>
      </c>
      <c r="B75" s="23" t="s">
        <v>446</v>
      </c>
      <c r="E75" s="68">
        <v>26</v>
      </c>
      <c r="F75" s="68">
        <v>11</v>
      </c>
      <c r="I75" s="75" t="s">
        <v>397</v>
      </c>
      <c r="J75" s="3">
        <v>2</v>
      </c>
      <c r="L75" s="114"/>
      <c r="M75" s="114"/>
      <c r="N75" s="114"/>
      <c r="O75" s="114"/>
      <c r="P75" s="114"/>
      <c r="Q75" s="114"/>
      <c r="R75" s="114"/>
      <c r="S75" s="114"/>
    </row>
    <row r="76" spans="1:19" hidden="1">
      <c r="A76" s="6" t="str">
        <f>Kalkulator!B123</f>
        <v>grupa I - kolory pastelowe (bez dopłaty)</v>
      </c>
      <c r="B76" s="112">
        <v>11</v>
      </c>
      <c r="E76" s="68">
        <v>27</v>
      </c>
      <c r="F76" s="68">
        <v>12</v>
      </c>
      <c r="I76" s="75" t="s">
        <v>398</v>
      </c>
      <c r="J76" s="3">
        <v>3</v>
      </c>
      <c r="L76" s="115"/>
      <c r="M76" s="115"/>
      <c r="N76" s="115"/>
      <c r="O76" s="116"/>
      <c r="P76" s="116"/>
      <c r="Q76" s="116"/>
      <c r="R76" s="116"/>
      <c r="S76" s="116"/>
    </row>
    <row r="77" spans="1:19" hidden="1">
      <c r="A77" s="6" t="str">
        <f>Kalkulator!B124</f>
        <v>grupa II - kolory średnio intensywne</v>
      </c>
      <c r="B77" s="112">
        <v>12</v>
      </c>
      <c r="E77" s="68">
        <v>28</v>
      </c>
      <c r="F77" s="68">
        <v>13</v>
      </c>
      <c r="I77" s="75" t="s">
        <v>399</v>
      </c>
      <c r="J77" s="3">
        <v>4</v>
      </c>
      <c r="L77" s="117"/>
      <c r="M77" s="117"/>
      <c r="N77" s="117"/>
      <c r="O77" s="117"/>
      <c r="P77" s="117"/>
      <c r="Q77" s="117"/>
      <c r="R77" s="117"/>
      <c r="S77" s="117"/>
    </row>
    <row r="78" spans="1:19" hidden="1">
      <c r="A78" s="6" t="str">
        <f>Kalkulator!B125</f>
        <v>grupa III - kolory ciemne i nasycone</v>
      </c>
      <c r="B78" s="112">
        <v>13</v>
      </c>
      <c r="E78" s="68">
        <v>29</v>
      </c>
      <c r="F78" s="68">
        <v>14</v>
      </c>
      <c r="L78" s="117"/>
      <c r="M78" s="117"/>
      <c r="N78" s="117"/>
      <c r="O78" s="117"/>
      <c r="P78" s="117"/>
      <c r="Q78" s="117"/>
      <c r="R78" s="117"/>
      <c r="S78" s="117"/>
    </row>
    <row r="79" spans="1:19" hidden="1">
      <c r="A79" s="6" t="str">
        <f>Kalkulator!B126</f>
        <v>grupa IV - wycena indywidualna</v>
      </c>
      <c r="B79" s="112">
        <v>14</v>
      </c>
      <c r="E79" s="68">
        <v>30</v>
      </c>
      <c r="F79" s="68">
        <v>15</v>
      </c>
      <c r="L79" s="117"/>
      <c r="M79" s="117"/>
      <c r="N79" s="117"/>
      <c r="O79" s="117"/>
      <c r="P79" s="117"/>
      <c r="Q79" s="117"/>
      <c r="R79" s="117"/>
      <c r="S79" s="117"/>
    </row>
    <row r="80" spans="1:19" hidden="1">
      <c r="B80" s="76"/>
      <c r="E80" s="68">
        <v>31</v>
      </c>
      <c r="F80" s="68">
        <v>16</v>
      </c>
    </row>
    <row r="81" spans="1:6" hidden="1">
      <c r="A81" s="5" t="s">
        <v>513</v>
      </c>
      <c r="B81" s="23" t="s">
        <v>446</v>
      </c>
      <c r="E81" s="68">
        <v>32</v>
      </c>
      <c r="F81" s="68">
        <v>17</v>
      </c>
    </row>
    <row r="82" spans="1:6" hidden="1">
      <c r="A82" s="6" t="str">
        <f>Kalkulator!B123</f>
        <v>grupa I - kolory pastelowe (bez dopłaty)</v>
      </c>
      <c r="B82" s="112">
        <v>11</v>
      </c>
      <c r="E82" s="68">
        <v>33</v>
      </c>
      <c r="F82" s="68">
        <v>18</v>
      </c>
    </row>
    <row r="83" spans="1:6" hidden="1">
      <c r="A83" s="6" t="str">
        <f>Kalkulator!B124</f>
        <v>grupa II - kolory średnio intensywne</v>
      </c>
      <c r="B83" s="112">
        <v>12</v>
      </c>
      <c r="E83" s="68">
        <v>34</v>
      </c>
      <c r="F83" s="68">
        <v>19</v>
      </c>
    </row>
    <row r="84" spans="1:6" hidden="1">
      <c r="A84" s="6" t="str">
        <f>Kalkulator!B125</f>
        <v>grupa III - kolory ciemne i nasycone</v>
      </c>
      <c r="B84" s="112">
        <v>13</v>
      </c>
      <c r="E84" s="68">
        <v>35</v>
      </c>
      <c r="F84" s="68">
        <v>20</v>
      </c>
    </row>
    <row r="85" spans="1:6" hidden="1">
      <c r="A85" s="6" t="str">
        <f>Kalkulator!B126</f>
        <v>grupa IV - wycena indywidualna</v>
      </c>
      <c r="B85" s="112">
        <v>14</v>
      </c>
      <c r="F85" s="68">
        <v>21</v>
      </c>
    </row>
    <row r="86" spans="1:6" hidden="1">
      <c r="B86" s="3"/>
      <c r="F86" s="68">
        <v>22</v>
      </c>
    </row>
    <row r="87" spans="1:6" hidden="1">
      <c r="A87" s="5" t="s">
        <v>514</v>
      </c>
      <c r="F87" s="68">
        <v>23</v>
      </c>
    </row>
    <row r="88" spans="1:6" hidden="1">
      <c r="A88" s="121" t="str">
        <f>Kalkulator!B225</f>
        <v>AG 701 - grunt pod impregnat (biały)</v>
      </c>
      <c r="F88" s="68">
        <v>24</v>
      </c>
    </row>
    <row r="89" spans="1:6">
      <c r="B89" s="76"/>
      <c r="F89" s="68">
        <v>25</v>
      </c>
    </row>
    <row r="90" spans="1:6">
      <c r="B90" s="76"/>
    </row>
    <row r="93" spans="1:6">
      <c r="C93" s="2"/>
    </row>
    <row r="94" spans="1:6">
      <c r="C94" s="2"/>
    </row>
    <row r="95" spans="1:6">
      <c r="C95" s="2"/>
    </row>
    <row r="96" spans="1:6">
      <c r="C96" s="2"/>
    </row>
    <row r="97" spans="3:3">
      <c r="C97" s="2"/>
    </row>
  </sheetData>
  <sheetProtection algorithmName="SHA-512" hashValue="yJGgSVIYTrEzvZrrMYrGhHjrA9GM4DZ/yn16X6omuO3seTOBO8gkqK0jR2YxSUKN9FCDhBHQiFpU6wbcTdPvjA==" saltValue="BHNsKcfkobZRVS8vKRwD0g==" spinCount="100000" sheet="1" objects="1" scenarios="1" selectLockedCells="1"/>
  <protectedRanges>
    <protectedRange password="C5F8" sqref="E54:F55 E62:F62" name="Zakres1"/>
  </protectedRanges>
  <mergeCells count="4">
    <mergeCell ref="D3:D4"/>
    <mergeCell ref="A3:A4"/>
    <mergeCell ref="C3:C4"/>
    <mergeCell ref="J29:N29"/>
  </mergeCells>
  <phoneticPr fontId="2" type="noConversion"/>
  <conditionalFormatting sqref="C1:D1">
    <cfRule type="expression" dxfId="0" priority="1">
      <formula>$E$1</formula>
    </cfRule>
  </conditionalFormatting>
  <printOptions horizontalCentered="1"/>
  <pageMargins left="0.35433070866141736" right="0.35433070866141736" top="0.59055118110236227" bottom="0.59055118110236227" header="0.51181102362204722" footer="0.51181102362204722"/>
  <pageSetup paperSize="9" orientation="portrait"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XFC169"/>
  <sheetViews>
    <sheetView topLeftCell="XFD1" workbookViewId="0">
      <selection sqref="A1:XFD1048576"/>
    </sheetView>
  </sheetViews>
  <sheetFormatPr defaultColWidth="0" defaultRowHeight="13.2"/>
  <cols>
    <col min="1" max="1" width="6.33203125" hidden="1"/>
    <col min="2" max="2" width="47.44140625" hidden="1"/>
    <col min="3" max="3" width="40.44140625" hidden="1"/>
    <col min="4" max="4" width="52.5546875" hidden="1"/>
    <col min="5" max="5" width="52.33203125" hidden="1"/>
    <col min="6" max="16383" width="8.88671875" hidden="1"/>
    <col min="16384" max="16384" width="2" hidden="1"/>
  </cols>
  <sheetData>
    <row r="1" spans="1:5">
      <c r="A1" s="83">
        <v>1</v>
      </c>
      <c r="B1" s="78" t="s">
        <v>30</v>
      </c>
      <c r="C1" s="78" t="s">
        <v>104</v>
      </c>
      <c r="D1" s="78" t="s">
        <v>105</v>
      </c>
      <c r="E1" s="78" t="s">
        <v>106</v>
      </c>
    </row>
    <row r="2" spans="1:5">
      <c r="A2" s="79">
        <v>2</v>
      </c>
      <c r="B2" s="79" t="s">
        <v>31</v>
      </c>
      <c r="C2" s="79" t="s">
        <v>107</v>
      </c>
      <c r="D2" s="79" t="s">
        <v>108</v>
      </c>
      <c r="E2" s="79" t="s">
        <v>109</v>
      </c>
    </row>
    <row r="3" spans="1:5" s="27" customFormat="1">
      <c r="A3" s="80">
        <v>3</v>
      </c>
      <c r="B3" s="80" t="s">
        <v>680</v>
      </c>
      <c r="C3" s="80" t="s">
        <v>681</v>
      </c>
      <c r="D3" s="80" t="s">
        <v>682</v>
      </c>
      <c r="E3" s="80" t="s">
        <v>683</v>
      </c>
    </row>
    <row r="4" spans="1:5" s="27" customFormat="1">
      <c r="A4" s="79">
        <v>4</v>
      </c>
      <c r="B4" s="79" t="s">
        <v>91</v>
      </c>
      <c r="C4" s="79" t="s">
        <v>404</v>
      </c>
      <c r="D4" s="79" t="s">
        <v>405</v>
      </c>
      <c r="E4" s="79" t="s">
        <v>406</v>
      </c>
    </row>
    <row r="5" spans="1:5">
      <c r="A5" s="80">
        <v>5</v>
      </c>
      <c r="B5" s="79" t="s">
        <v>32</v>
      </c>
      <c r="C5" s="79" t="s">
        <v>110</v>
      </c>
      <c r="D5" s="79" t="s">
        <v>111</v>
      </c>
      <c r="E5" s="79" t="s">
        <v>112</v>
      </c>
    </row>
    <row r="6" spans="1:5">
      <c r="A6" s="79">
        <v>6</v>
      </c>
      <c r="B6" s="79" t="s">
        <v>701</v>
      </c>
      <c r="C6" s="79" t="s">
        <v>702</v>
      </c>
      <c r="D6" s="79" t="s">
        <v>703</v>
      </c>
      <c r="E6" s="79" t="s">
        <v>704</v>
      </c>
    </row>
    <row r="7" spans="1:5">
      <c r="A7" s="80">
        <v>7</v>
      </c>
      <c r="B7" s="79" t="s">
        <v>28</v>
      </c>
      <c r="C7" s="79" t="s">
        <v>113</v>
      </c>
      <c r="D7" s="79" t="s">
        <v>28</v>
      </c>
      <c r="E7" s="79" t="s">
        <v>114</v>
      </c>
    </row>
    <row r="8" spans="1:5">
      <c r="A8" s="79">
        <v>8</v>
      </c>
      <c r="B8" s="79" t="s">
        <v>33</v>
      </c>
      <c r="C8" s="79" t="s">
        <v>115</v>
      </c>
      <c r="D8" s="79" t="s">
        <v>33</v>
      </c>
      <c r="E8" s="79" t="s">
        <v>116</v>
      </c>
    </row>
    <row r="9" spans="1:5">
      <c r="A9" s="80">
        <v>9</v>
      </c>
      <c r="B9" s="79" t="s">
        <v>410</v>
      </c>
      <c r="C9" s="79" t="s">
        <v>410</v>
      </c>
      <c r="D9" s="79" t="s">
        <v>403</v>
      </c>
      <c r="E9" s="79" t="s">
        <v>402</v>
      </c>
    </row>
    <row r="10" spans="1:5">
      <c r="A10" s="79">
        <v>10</v>
      </c>
      <c r="B10" s="79" t="s">
        <v>102</v>
      </c>
      <c r="C10" s="79" t="s">
        <v>392</v>
      </c>
      <c r="D10" s="79" t="s">
        <v>393</v>
      </c>
      <c r="E10" s="79" t="s">
        <v>391</v>
      </c>
    </row>
    <row r="11" spans="1:5">
      <c r="A11" s="80">
        <v>11</v>
      </c>
      <c r="B11" s="79" t="s">
        <v>663</v>
      </c>
      <c r="C11" s="79" t="s">
        <v>117</v>
      </c>
      <c r="D11" s="79" t="s">
        <v>118</v>
      </c>
      <c r="E11" s="79" t="s">
        <v>664</v>
      </c>
    </row>
    <row r="12" spans="1:5">
      <c r="A12" s="79">
        <v>12</v>
      </c>
      <c r="B12" s="79" t="s">
        <v>34</v>
      </c>
      <c r="C12" s="79" t="s">
        <v>119</v>
      </c>
      <c r="D12" s="79" t="s">
        <v>120</v>
      </c>
      <c r="E12" s="79" t="s">
        <v>121</v>
      </c>
    </row>
    <row r="13" spans="1:5">
      <c r="A13" s="80">
        <v>13</v>
      </c>
      <c r="B13" s="79" t="s">
        <v>35</v>
      </c>
      <c r="C13" s="79" t="s">
        <v>122</v>
      </c>
      <c r="D13" s="79" t="s">
        <v>123</v>
      </c>
      <c r="E13" s="79" t="s">
        <v>124</v>
      </c>
    </row>
    <row r="14" spans="1:5">
      <c r="A14" s="79">
        <v>14</v>
      </c>
      <c r="B14" s="79" t="s">
        <v>36</v>
      </c>
      <c r="C14" s="79" t="s">
        <v>125</v>
      </c>
      <c r="D14" s="79" t="s">
        <v>126</v>
      </c>
      <c r="E14" s="79" t="s">
        <v>127</v>
      </c>
    </row>
    <row r="15" spans="1:5">
      <c r="A15" s="80">
        <v>15</v>
      </c>
      <c r="B15" s="79" t="s">
        <v>37</v>
      </c>
      <c r="C15" s="79" t="s">
        <v>128</v>
      </c>
      <c r="D15" s="79" t="s">
        <v>129</v>
      </c>
      <c r="E15" s="79" t="s">
        <v>130</v>
      </c>
    </row>
    <row r="16" spans="1:5">
      <c r="A16" s="79">
        <v>16</v>
      </c>
      <c r="B16" s="79" t="s">
        <v>38</v>
      </c>
      <c r="C16" s="79" t="s">
        <v>131</v>
      </c>
      <c r="D16" s="79" t="s">
        <v>132</v>
      </c>
      <c r="E16" s="79" t="s">
        <v>133</v>
      </c>
    </row>
    <row r="17" spans="1:5">
      <c r="A17" s="80">
        <v>17</v>
      </c>
      <c r="B17" s="79" t="s">
        <v>29</v>
      </c>
      <c r="C17" s="79" t="s">
        <v>134</v>
      </c>
      <c r="D17" s="79" t="s">
        <v>135</v>
      </c>
      <c r="E17" s="79" t="s">
        <v>136</v>
      </c>
    </row>
    <row r="18" spans="1:5">
      <c r="A18" s="79">
        <v>18</v>
      </c>
      <c r="B18" s="79" t="s">
        <v>656</v>
      </c>
      <c r="C18" s="79" t="s">
        <v>658</v>
      </c>
      <c r="D18" s="79" t="s">
        <v>660</v>
      </c>
      <c r="E18" s="79" t="s">
        <v>659</v>
      </c>
    </row>
    <row r="19" spans="1:5">
      <c r="A19" s="80">
        <v>19</v>
      </c>
      <c r="B19" s="79" t="s">
        <v>39</v>
      </c>
      <c r="C19" s="79" t="s">
        <v>137</v>
      </c>
      <c r="D19" s="79" t="s">
        <v>138</v>
      </c>
      <c r="E19" s="79" t="s">
        <v>139</v>
      </c>
    </row>
    <row r="20" spans="1:5">
      <c r="A20" s="79">
        <v>20</v>
      </c>
      <c r="B20" s="79" t="s">
        <v>40</v>
      </c>
      <c r="C20" s="79" t="s">
        <v>140</v>
      </c>
      <c r="D20" s="79" t="s">
        <v>141</v>
      </c>
      <c r="E20" s="79" t="s">
        <v>142</v>
      </c>
    </row>
    <row r="21" spans="1:5">
      <c r="A21" s="80">
        <v>21</v>
      </c>
      <c r="B21" s="79" t="s">
        <v>401</v>
      </c>
      <c r="C21" s="79" t="s">
        <v>143</v>
      </c>
      <c r="D21" s="79" t="s">
        <v>144</v>
      </c>
      <c r="E21" s="79" t="s">
        <v>145</v>
      </c>
    </row>
    <row r="22" spans="1:5">
      <c r="A22" s="79">
        <v>22</v>
      </c>
      <c r="B22" s="79" t="s">
        <v>41</v>
      </c>
      <c r="C22" s="79" t="s">
        <v>146</v>
      </c>
      <c r="D22" s="79" t="s">
        <v>388</v>
      </c>
      <c r="E22" s="79" t="s">
        <v>147</v>
      </c>
    </row>
    <row r="23" spans="1:5">
      <c r="A23" s="80">
        <v>23</v>
      </c>
      <c r="B23" s="79" t="s">
        <v>615</v>
      </c>
      <c r="C23" s="79" t="s">
        <v>616</v>
      </c>
      <c r="D23" s="79" t="s">
        <v>617</v>
      </c>
      <c r="E23" s="79" t="s">
        <v>618</v>
      </c>
    </row>
    <row r="24" spans="1:5">
      <c r="A24" s="79">
        <v>24</v>
      </c>
      <c r="B24" s="79" t="s">
        <v>601</v>
      </c>
      <c r="C24" s="79" t="s">
        <v>148</v>
      </c>
      <c r="D24" s="79" t="s">
        <v>149</v>
      </c>
      <c r="E24" s="79" t="s">
        <v>150</v>
      </c>
    </row>
    <row r="25" spans="1:5">
      <c r="A25" s="80">
        <v>25</v>
      </c>
      <c r="B25" s="79" t="s">
        <v>42</v>
      </c>
      <c r="C25" s="79" t="s">
        <v>151</v>
      </c>
      <c r="D25" s="79" t="s">
        <v>152</v>
      </c>
      <c r="E25" s="79" t="s">
        <v>153</v>
      </c>
    </row>
    <row r="26" spans="1:5">
      <c r="A26" s="79">
        <v>26</v>
      </c>
      <c r="B26" s="79" t="s">
        <v>486</v>
      </c>
      <c r="C26" s="79" t="s">
        <v>487</v>
      </c>
      <c r="D26" s="79" t="s">
        <v>488</v>
      </c>
      <c r="E26" s="79" t="s">
        <v>489</v>
      </c>
    </row>
    <row r="27" spans="1:5">
      <c r="A27" s="80">
        <v>27</v>
      </c>
      <c r="B27" s="79" t="s">
        <v>490</v>
      </c>
      <c r="C27" s="79" t="s">
        <v>491</v>
      </c>
      <c r="D27" s="79" t="s">
        <v>492</v>
      </c>
      <c r="E27" s="79" t="s">
        <v>493</v>
      </c>
    </row>
    <row r="28" spans="1:5">
      <c r="A28" s="79">
        <v>28</v>
      </c>
      <c r="B28" s="79" t="s">
        <v>43</v>
      </c>
      <c r="C28" s="79" t="s">
        <v>154</v>
      </c>
      <c r="D28" s="79" t="s">
        <v>155</v>
      </c>
      <c r="E28" s="79" t="s">
        <v>156</v>
      </c>
    </row>
    <row r="29" spans="1:5">
      <c r="A29" s="80">
        <v>29</v>
      </c>
      <c r="B29" s="79" t="s">
        <v>494</v>
      </c>
      <c r="C29" s="79" t="s">
        <v>495</v>
      </c>
      <c r="D29" s="79" t="s">
        <v>496</v>
      </c>
      <c r="E29" s="79" t="s">
        <v>497</v>
      </c>
    </row>
    <row r="30" spans="1:5">
      <c r="A30" s="79">
        <v>30</v>
      </c>
      <c r="B30" s="79" t="s">
        <v>498</v>
      </c>
      <c r="C30" s="79" t="s">
        <v>501</v>
      </c>
      <c r="D30" s="79" t="s">
        <v>499</v>
      </c>
      <c r="E30" s="79" t="s">
        <v>500</v>
      </c>
    </row>
    <row r="31" spans="1:5">
      <c r="A31" s="80">
        <v>31</v>
      </c>
      <c r="B31" s="79" t="s">
        <v>44</v>
      </c>
      <c r="C31" s="79" t="s">
        <v>157</v>
      </c>
      <c r="D31" s="79" t="s">
        <v>158</v>
      </c>
      <c r="E31" s="79" t="s">
        <v>159</v>
      </c>
    </row>
    <row r="32" spans="1:5">
      <c r="A32" s="79">
        <v>32</v>
      </c>
      <c r="B32" s="79" t="s">
        <v>45</v>
      </c>
      <c r="C32" s="79" t="s">
        <v>160</v>
      </c>
      <c r="D32" s="79" t="s">
        <v>161</v>
      </c>
      <c r="E32" s="79" t="s">
        <v>162</v>
      </c>
    </row>
    <row r="33" spans="1:5">
      <c r="A33" s="80">
        <v>33</v>
      </c>
      <c r="B33" s="79" t="s">
        <v>477</v>
      </c>
      <c r="C33" s="79" t="s">
        <v>163</v>
      </c>
      <c r="D33" s="79" t="s">
        <v>164</v>
      </c>
      <c r="E33" s="79" t="s">
        <v>165</v>
      </c>
    </row>
    <row r="34" spans="1:5">
      <c r="A34" s="79">
        <v>34</v>
      </c>
      <c r="B34" s="79" t="s">
        <v>46</v>
      </c>
      <c r="C34" s="79" t="s">
        <v>166</v>
      </c>
      <c r="D34" s="79" t="s">
        <v>167</v>
      </c>
      <c r="E34" s="79" t="s">
        <v>168</v>
      </c>
    </row>
    <row r="35" spans="1:5">
      <c r="A35" s="80">
        <v>35</v>
      </c>
      <c r="B35" s="79" t="s">
        <v>25</v>
      </c>
      <c r="C35" s="79" t="s">
        <v>169</v>
      </c>
      <c r="D35" s="79" t="s">
        <v>170</v>
      </c>
      <c r="E35" s="79" t="s">
        <v>171</v>
      </c>
    </row>
    <row r="36" spans="1:5">
      <c r="A36" s="79">
        <v>36</v>
      </c>
      <c r="B36" s="79" t="s">
        <v>47</v>
      </c>
      <c r="C36" s="79" t="s">
        <v>172</v>
      </c>
      <c r="D36" s="79" t="s">
        <v>173</v>
      </c>
      <c r="E36" s="79" t="s">
        <v>174</v>
      </c>
    </row>
    <row r="37" spans="1:5">
      <c r="A37" s="80">
        <v>37</v>
      </c>
      <c r="B37" s="79" t="s">
        <v>48</v>
      </c>
      <c r="C37" s="79" t="s">
        <v>175</v>
      </c>
      <c r="D37" s="79" t="s">
        <v>176</v>
      </c>
      <c r="E37" s="79" t="s">
        <v>177</v>
      </c>
    </row>
    <row r="38" spans="1:5">
      <c r="A38" s="79">
        <v>38</v>
      </c>
      <c r="B38" s="79" t="s">
        <v>478</v>
      </c>
      <c r="C38" s="79" t="s">
        <v>178</v>
      </c>
      <c r="D38" s="79" t="s">
        <v>179</v>
      </c>
      <c r="E38" s="79" t="s">
        <v>479</v>
      </c>
    </row>
    <row r="39" spans="1:5">
      <c r="A39" s="80">
        <v>39</v>
      </c>
      <c r="B39" s="79" t="s">
        <v>49</v>
      </c>
      <c r="C39" s="79" t="s">
        <v>180</v>
      </c>
      <c r="D39" s="79" t="s">
        <v>181</v>
      </c>
      <c r="E39" s="79" t="s">
        <v>182</v>
      </c>
    </row>
    <row r="40" spans="1:5">
      <c r="A40" s="79">
        <v>40</v>
      </c>
      <c r="B40" s="79" t="s">
        <v>50</v>
      </c>
      <c r="C40" s="79" t="s">
        <v>183</v>
      </c>
      <c r="D40" s="79" t="s">
        <v>184</v>
      </c>
      <c r="E40" s="79" t="s">
        <v>185</v>
      </c>
    </row>
    <row r="41" spans="1:5">
      <c r="A41" s="80">
        <v>41</v>
      </c>
      <c r="B41" s="79" t="s">
        <v>51</v>
      </c>
      <c r="C41" s="79" t="s">
        <v>186</v>
      </c>
      <c r="D41" s="79" t="s">
        <v>187</v>
      </c>
      <c r="E41" s="79" t="s">
        <v>188</v>
      </c>
    </row>
    <row r="42" spans="1:5">
      <c r="A42" s="79">
        <v>42</v>
      </c>
      <c r="B42" s="79" t="s">
        <v>612</v>
      </c>
      <c r="C42" s="79" t="s">
        <v>613</v>
      </c>
      <c r="D42" s="79" t="s">
        <v>613</v>
      </c>
      <c r="E42" s="79" t="s">
        <v>614</v>
      </c>
    </row>
    <row r="43" spans="1:5">
      <c r="A43" s="80">
        <v>43</v>
      </c>
      <c r="B43" s="79" t="s">
        <v>52</v>
      </c>
      <c r="C43" s="79" t="s">
        <v>189</v>
      </c>
      <c r="D43" s="79" t="s">
        <v>190</v>
      </c>
      <c r="E43" s="79" t="s">
        <v>191</v>
      </c>
    </row>
    <row r="44" spans="1:5">
      <c r="A44" s="79">
        <v>44</v>
      </c>
      <c r="B44" s="79" t="s">
        <v>53</v>
      </c>
      <c r="C44" s="79" t="s">
        <v>192</v>
      </c>
      <c r="D44" s="79" t="s">
        <v>193</v>
      </c>
      <c r="E44" s="79" t="s">
        <v>194</v>
      </c>
    </row>
    <row r="45" spans="1:5">
      <c r="A45" s="80">
        <v>45</v>
      </c>
      <c r="B45" s="79" t="s">
        <v>54</v>
      </c>
      <c r="C45" s="79" t="s">
        <v>195</v>
      </c>
      <c r="D45" s="79" t="s">
        <v>196</v>
      </c>
      <c r="E45" s="79" t="s">
        <v>197</v>
      </c>
    </row>
    <row r="46" spans="1:5">
      <c r="A46" s="79">
        <v>46</v>
      </c>
      <c r="B46" s="79" t="s">
        <v>55</v>
      </c>
      <c r="C46" s="79" t="s">
        <v>198</v>
      </c>
      <c r="D46" s="79" t="s">
        <v>199</v>
      </c>
      <c r="E46" s="79" t="s">
        <v>200</v>
      </c>
    </row>
    <row r="47" spans="1:5">
      <c r="A47" s="80">
        <v>47</v>
      </c>
      <c r="B47" s="79" t="s">
        <v>56</v>
      </c>
      <c r="C47" s="79" t="s">
        <v>201</v>
      </c>
      <c r="D47" s="79" t="s">
        <v>202</v>
      </c>
      <c r="E47" s="79" t="s">
        <v>203</v>
      </c>
    </row>
    <row r="48" spans="1:5">
      <c r="A48" s="79">
        <v>48</v>
      </c>
      <c r="B48" s="79" t="s">
        <v>57</v>
      </c>
      <c r="C48" s="79" t="s">
        <v>204</v>
      </c>
      <c r="D48" s="79" t="s">
        <v>205</v>
      </c>
      <c r="E48" s="79" t="s">
        <v>206</v>
      </c>
    </row>
    <row r="49" spans="1:5">
      <c r="A49" s="80">
        <v>49</v>
      </c>
      <c r="B49" s="79" t="s">
        <v>58</v>
      </c>
      <c r="C49" s="79" t="s">
        <v>207</v>
      </c>
      <c r="D49" s="79" t="s">
        <v>208</v>
      </c>
      <c r="E49" s="79" t="s">
        <v>209</v>
      </c>
    </row>
    <row r="50" spans="1:5">
      <c r="A50" s="79">
        <v>50</v>
      </c>
      <c r="B50" s="79" t="s">
        <v>59</v>
      </c>
      <c r="C50" s="79" t="s">
        <v>210</v>
      </c>
      <c r="D50" s="79" t="s">
        <v>211</v>
      </c>
      <c r="E50" s="79" t="s">
        <v>212</v>
      </c>
    </row>
    <row r="51" spans="1:5">
      <c r="A51" s="80">
        <v>51</v>
      </c>
      <c r="B51" s="79" t="s">
        <v>60</v>
      </c>
      <c r="C51" s="79" t="s">
        <v>213</v>
      </c>
      <c r="D51" s="79" t="s">
        <v>214</v>
      </c>
      <c r="E51" s="79" t="s">
        <v>215</v>
      </c>
    </row>
    <row r="52" spans="1:5">
      <c r="A52" s="79">
        <v>52</v>
      </c>
      <c r="B52" s="79" t="s">
        <v>61</v>
      </c>
      <c r="C52" s="79" t="s">
        <v>216</v>
      </c>
      <c r="D52" s="79" t="s">
        <v>217</v>
      </c>
      <c r="E52" s="79" t="s">
        <v>218</v>
      </c>
    </row>
    <row r="53" spans="1:5">
      <c r="A53" s="80">
        <v>53</v>
      </c>
      <c r="B53" s="79" t="s">
        <v>62</v>
      </c>
      <c r="C53" s="79" t="s">
        <v>219</v>
      </c>
      <c r="D53" s="79" t="s">
        <v>220</v>
      </c>
      <c r="E53" s="79" t="s">
        <v>221</v>
      </c>
    </row>
    <row r="54" spans="1:5">
      <c r="A54" s="79">
        <v>54</v>
      </c>
      <c r="B54" s="79" t="s">
        <v>63</v>
      </c>
      <c r="C54" s="79" t="s">
        <v>222</v>
      </c>
      <c r="D54" s="79" t="s">
        <v>223</v>
      </c>
      <c r="E54" s="79" t="s">
        <v>224</v>
      </c>
    </row>
    <row r="55" spans="1:5">
      <c r="A55" s="80">
        <v>55</v>
      </c>
      <c r="B55" s="79" t="s">
        <v>64</v>
      </c>
      <c r="C55" s="79" t="s">
        <v>225</v>
      </c>
      <c r="D55" s="79" t="s">
        <v>226</v>
      </c>
      <c r="E55" s="79" t="s">
        <v>227</v>
      </c>
    </row>
    <row r="56" spans="1:5">
      <c r="A56" s="79">
        <v>56</v>
      </c>
      <c r="B56" s="79" t="s">
        <v>65</v>
      </c>
      <c r="C56" s="79" t="s">
        <v>228</v>
      </c>
      <c r="D56" s="79" t="s">
        <v>229</v>
      </c>
      <c r="E56" s="79" t="s">
        <v>230</v>
      </c>
    </row>
    <row r="57" spans="1:5">
      <c r="A57" s="80">
        <v>57</v>
      </c>
      <c r="B57" s="79" t="s">
        <v>66</v>
      </c>
      <c r="C57" s="79" t="s">
        <v>231</v>
      </c>
      <c r="D57" s="79" t="s">
        <v>232</v>
      </c>
      <c r="E57" s="79" t="s">
        <v>233</v>
      </c>
    </row>
    <row r="58" spans="1:5">
      <c r="A58" s="79">
        <v>58</v>
      </c>
      <c r="B58" s="79" t="s">
        <v>26</v>
      </c>
      <c r="C58" s="79" t="s">
        <v>234</v>
      </c>
      <c r="D58" s="79" t="s">
        <v>235</v>
      </c>
      <c r="E58" s="79" t="s">
        <v>236</v>
      </c>
    </row>
    <row r="59" spans="1:5" s="27" customFormat="1">
      <c r="A59" s="80">
        <v>59</v>
      </c>
      <c r="B59" s="79" t="s">
        <v>97</v>
      </c>
      <c r="C59" s="79" t="s">
        <v>368</v>
      </c>
      <c r="D59" s="79" t="s">
        <v>376</v>
      </c>
      <c r="E59" s="79" t="s">
        <v>373</v>
      </c>
    </row>
    <row r="60" spans="1:5" s="27" customFormat="1">
      <c r="A60" s="79">
        <v>60</v>
      </c>
      <c r="B60" s="79" t="s">
        <v>96</v>
      </c>
      <c r="C60" s="79" t="s">
        <v>369</v>
      </c>
      <c r="D60" s="79" t="s">
        <v>374</v>
      </c>
      <c r="E60" s="79" t="s">
        <v>375</v>
      </c>
    </row>
    <row r="61" spans="1:5">
      <c r="A61" s="80">
        <v>61</v>
      </c>
      <c r="B61" s="79" t="s">
        <v>67</v>
      </c>
      <c r="C61" s="79" t="s">
        <v>237</v>
      </c>
      <c r="D61" s="79" t="s">
        <v>238</v>
      </c>
      <c r="E61" s="79" t="s">
        <v>239</v>
      </c>
    </row>
    <row r="62" spans="1:5">
      <c r="A62" s="79">
        <v>62</v>
      </c>
      <c r="B62" s="79" t="s">
        <v>27</v>
      </c>
      <c r="C62" s="79" t="s">
        <v>240</v>
      </c>
      <c r="D62" s="79" t="s">
        <v>241</v>
      </c>
      <c r="E62" s="79" t="s">
        <v>242</v>
      </c>
    </row>
    <row r="63" spans="1:5" s="27" customFormat="1">
      <c r="A63" s="80">
        <v>63</v>
      </c>
      <c r="B63" s="79" t="s">
        <v>95</v>
      </c>
      <c r="C63" s="79" t="s">
        <v>372</v>
      </c>
      <c r="D63" s="79" t="s">
        <v>370</v>
      </c>
      <c r="E63" s="79" t="s">
        <v>371</v>
      </c>
    </row>
    <row r="64" spans="1:5" s="27" customFormat="1">
      <c r="A64" s="79">
        <v>64</v>
      </c>
      <c r="B64" s="79" t="s">
        <v>97</v>
      </c>
      <c r="C64" s="79" t="s">
        <v>368</v>
      </c>
      <c r="D64" s="79" t="s">
        <v>376</v>
      </c>
      <c r="E64" s="79" t="s">
        <v>373</v>
      </c>
    </row>
    <row r="65" spans="1:5" s="27" customFormat="1">
      <c r="A65" s="80">
        <v>65</v>
      </c>
      <c r="B65" s="79" t="s">
        <v>96</v>
      </c>
      <c r="C65" s="79" t="s">
        <v>369</v>
      </c>
      <c r="D65" s="79" t="s">
        <v>374</v>
      </c>
      <c r="E65" s="79" t="s">
        <v>375</v>
      </c>
    </row>
    <row r="66" spans="1:5">
      <c r="A66" s="79">
        <v>66</v>
      </c>
      <c r="B66" s="79" t="s">
        <v>67</v>
      </c>
      <c r="C66" s="79" t="s">
        <v>237</v>
      </c>
      <c r="D66" s="79" t="s">
        <v>238</v>
      </c>
      <c r="E66" s="79" t="s">
        <v>239</v>
      </c>
    </row>
    <row r="67" spans="1:5">
      <c r="A67" s="80">
        <v>67</v>
      </c>
      <c r="B67" s="79" t="s">
        <v>68</v>
      </c>
      <c r="C67" s="79" t="s">
        <v>243</v>
      </c>
      <c r="D67" s="79" t="s">
        <v>244</v>
      </c>
      <c r="E67" s="81" t="s">
        <v>245</v>
      </c>
    </row>
    <row r="68" spans="1:5">
      <c r="A68" s="79">
        <v>68</v>
      </c>
      <c r="B68" s="79" t="s">
        <v>69</v>
      </c>
      <c r="C68" s="79" t="s">
        <v>246</v>
      </c>
      <c r="D68" s="79" t="s">
        <v>247</v>
      </c>
      <c r="E68" s="81" t="s">
        <v>248</v>
      </c>
    </row>
    <row r="69" spans="1:5">
      <c r="A69" s="80">
        <v>69</v>
      </c>
      <c r="B69" s="79" t="s">
        <v>70</v>
      </c>
      <c r="C69" s="79" t="s">
        <v>249</v>
      </c>
      <c r="D69" s="79" t="s">
        <v>250</v>
      </c>
      <c r="E69" s="79" t="s">
        <v>251</v>
      </c>
    </row>
    <row r="70" spans="1:5">
      <c r="A70" s="79">
        <v>70</v>
      </c>
      <c r="B70" s="79" t="s">
        <v>71</v>
      </c>
      <c r="C70" s="79" t="s">
        <v>252</v>
      </c>
      <c r="D70" s="79" t="s">
        <v>253</v>
      </c>
      <c r="E70" s="79" t="s">
        <v>254</v>
      </c>
    </row>
    <row r="71" spans="1:5">
      <c r="A71" s="80">
        <v>71</v>
      </c>
      <c r="B71" s="79" t="s">
        <v>72</v>
      </c>
      <c r="C71" s="79" t="s">
        <v>255</v>
      </c>
      <c r="D71" s="79" t="s">
        <v>256</v>
      </c>
      <c r="E71" s="79" t="s">
        <v>257</v>
      </c>
    </row>
    <row r="72" spans="1:5">
      <c r="A72" s="79">
        <v>72</v>
      </c>
      <c r="B72" s="79" t="s">
        <v>73</v>
      </c>
      <c r="C72" s="79" t="s">
        <v>258</v>
      </c>
      <c r="D72" s="79" t="s">
        <v>259</v>
      </c>
      <c r="E72" s="79" t="s">
        <v>260</v>
      </c>
    </row>
    <row r="73" spans="1:5">
      <c r="A73" s="80">
        <v>73</v>
      </c>
      <c r="B73" s="79" t="s">
        <v>74</v>
      </c>
      <c r="C73" s="79" t="s">
        <v>261</v>
      </c>
      <c r="D73" s="79" t="s">
        <v>262</v>
      </c>
      <c r="E73" s="79" t="s">
        <v>263</v>
      </c>
    </row>
    <row r="74" spans="1:5">
      <c r="A74" s="79">
        <v>74</v>
      </c>
      <c r="B74" s="79" t="s">
        <v>75</v>
      </c>
      <c r="C74" s="79" t="s">
        <v>264</v>
      </c>
      <c r="D74" s="79" t="s">
        <v>265</v>
      </c>
      <c r="E74" s="79" t="s">
        <v>266</v>
      </c>
    </row>
    <row r="75" spans="1:5" s="27" customFormat="1">
      <c r="A75" s="80">
        <v>75</v>
      </c>
      <c r="B75" s="79" t="s">
        <v>636</v>
      </c>
      <c r="C75" s="79" t="s">
        <v>639</v>
      </c>
      <c r="D75" s="79" t="s">
        <v>671</v>
      </c>
      <c r="E75" s="79" t="s">
        <v>640</v>
      </c>
    </row>
    <row r="76" spans="1:5" s="27" customFormat="1">
      <c r="A76" s="79">
        <v>76</v>
      </c>
      <c r="B76" s="79" t="s">
        <v>668</v>
      </c>
      <c r="C76" s="79" t="s">
        <v>669</v>
      </c>
      <c r="D76" s="79" t="s">
        <v>670</v>
      </c>
      <c r="E76" s="79" t="s">
        <v>673</v>
      </c>
    </row>
    <row r="77" spans="1:5" s="27" customFormat="1">
      <c r="A77" s="80">
        <v>77</v>
      </c>
      <c r="B77" s="79" t="s">
        <v>637</v>
      </c>
      <c r="C77" s="79" t="s">
        <v>641</v>
      </c>
      <c r="D77" s="79" t="s">
        <v>672</v>
      </c>
      <c r="E77" s="79" t="s">
        <v>642</v>
      </c>
    </row>
    <row r="78" spans="1:5">
      <c r="A78" s="79">
        <v>78</v>
      </c>
      <c r="B78" s="79" t="s">
        <v>638</v>
      </c>
      <c r="C78" s="79" t="s">
        <v>645</v>
      </c>
      <c r="D78" s="79" t="s">
        <v>644</v>
      </c>
      <c r="E78" s="79" t="s">
        <v>643</v>
      </c>
    </row>
    <row r="79" spans="1:5">
      <c r="A79" s="80">
        <v>79</v>
      </c>
      <c r="B79" s="79" t="s">
        <v>14</v>
      </c>
      <c r="C79" s="79" t="s">
        <v>267</v>
      </c>
      <c r="D79" s="79" t="s">
        <v>268</v>
      </c>
      <c r="E79" s="79" t="s">
        <v>269</v>
      </c>
    </row>
    <row r="80" spans="1:5">
      <c r="A80" s="79">
        <v>80</v>
      </c>
      <c r="B80" s="79" t="s">
        <v>76</v>
      </c>
      <c r="C80" s="79" t="s">
        <v>270</v>
      </c>
      <c r="D80" s="79" t="s">
        <v>271</v>
      </c>
      <c r="E80" s="79" t="s">
        <v>272</v>
      </c>
    </row>
    <row r="81" spans="1:5">
      <c r="A81" s="80">
        <v>81</v>
      </c>
      <c r="B81" s="79" t="s">
        <v>623</v>
      </c>
      <c r="C81" s="79" t="s">
        <v>585</v>
      </c>
      <c r="D81" s="79" t="s">
        <v>273</v>
      </c>
      <c r="E81" s="79" t="s">
        <v>625</v>
      </c>
    </row>
    <row r="82" spans="1:5">
      <c r="A82" s="79">
        <v>82</v>
      </c>
      <c r="B82" s="79" t="s">
        <v>624</v>
      </c>
      <c r="C82" s="79" t="s">
        <v>449</v>
      </c>
      <c r="D82" s="79" t="s">
        <v>273</v>
      </c>
      <c r="E82" s="79" t="s">
        <v>625</v>
      </c>
    </row>
    <row r="83" spans="1:5">
      <c r="A83" s="80">
        <v>83</v>
      </c>
      <c r="B83" s="79" t="s">
        <v>485</v>
      </c>
      <c r="C83" s="79" t="s">
        <v>507</v>
      </c>
      <c r="D83" s="79" t="s">
        <v>508</v>
      </c>
      <c r="E83" s="79" t="s">
        <v>506</v>
      </c>
    </row>
    <row r="84" spans="1:5">
      <c r="A84" s="79">
        <v>84</v>
      </c>
      <c r="B84" s="79" t="s">
        <v>77</v>
      </c>
      <c r="C84" s="79" t="s">
        <v>77</v>
      </c>
      <c r="D84" s="79" t="s">
        <v>77</v>
      </c>
      <c r="E84" s="79" t="s">
        <v>274</v>
      </c>
    </row>
    <row r="85" spans="1:5">
      <c r="A85" s="80">
        <v>85</v>
      </c>
      <c r="B85" s="79" t="s">
        <v>78</v>
      </c>
      <c r="C85" s="79" t="s">
        <v>275</v>
      </c>
      <c r="D85" s="79" t="s">
        <v>276</v>
      </c>
      <c r="E85" s="79" t="s">
        <v>277</v>
      </c>
    </row>
    <row r="86" spans="1:5">
      <c r="A86" s="79">
        <v>86</v>
      </c>
      <c r="B86" s="79" t="s">
        <v>626</v>
      </c>
      <c r="C86" s="79" t="s">
        <v>627</v>
      </c>
      <c r="D86" s="79" t="s">
        <v>609</v>
      </c>
      <c r="E86" s="79" t="s">
        <v>628</v>
      </c>
    </row>
    <row r="87" spans="1:5">
      <c r="A87" s="80">
        <v>87</v>
      </c>
      <c r="B87" s="79" t="s">
        <v>79</v>
      </c>
      <c r="C87" s="79" t="s">
        <v>278</v>
      </c>
      <c r="D87" s="79" t="s">
        <v>279</v>
      </c>
      <c r="E87" s="79" t="s">
        <v>280</v>
      </c>
    </row>
    <row r="88" spans="1:5">
      <c r="A88" s="79">
        <v>88</v>
      </c>
      <c r="B88" s="79" t="s">
        <v>80</v>
      </c>
      <c r="C88" s="79" t="s">
        <v>281</v>
      </c>
      <c r="D88" s="79" t="s">
        <v>282</v>
      </c>
      <c r="E88" s="79" t="s">
        <v>283</v>
      </c>
    </row>
    <row r="89" spans="1:5">
      <c r="A89" s="80">
        <v>89</v>
      </c>
      <c r="B89" s="79" t="s">
        <v>81</v>
      </c>
      <c r="C89" s="79" t="s">
        <v>284</v>
      </c>
      <c r="D89" s="79" t="s">
        <v>285</v>
      </c>
      <c r="E89" s="79" t="s">
        <v>286</v>
      </c>
    </row>
    <row r="90" spans="1:5">
      <c r="A90" s="79">
        <v>90</v>
      </c>
      <c r="B90" s="79" t="s">
        <v>619</v>
      </c>
      <c r="C90" s="79" t="s">
        <v>620</v>
      </c>
      <c r="D90" s="79" t="s">
        <v>621</v>
      </c>
      <c r="E90" s="79" t="s">
        <v>622</v>
      </c>
    </row>
    <row r="91" spans="1:5">
      <c r="A91" s="80">
        <v>91</v>
      </c>
      <c r="B91" s="79" t="s">
        <v>82</v>
      </c>
      <c r="C91" s="79" t="s">
        <v>287</v>
      </c>
      <c r="D91" s="79" t="s">
        <v>288</v>
      </c>
      <c r="E91" s="79" t="s">
        <v>289</v>
      </c>
    </row>
    <row r="92" spans="1:5">
      <c r="A92" s="79">
        <v>92</v>
      </c>
      <c r="B92" s="79" t="s">
        <v>83</v>
      </c>
      <c r="C92" s="79" t="s">
        <v>290</v>
      </c>
      <c r="D92" s="79" t="s">
        <v>291</v>
      </c>
      <c r="E92" s="79" t="s">
        <v>292</v>
      </c>
    </row>
    <row r="93" spans="1:5">
      <c r="A93" s="80">
        <v>93</v>
      </c>
      <c r="B93" s="79" t="s">
        <v>52</v>
      </c>
      <c r="C93" s="79" t="s">
        <v>189</v>
      </c>
      <c r="D93" s="79" t="s">
        <v>190</v>
      </c>
      <c r="E93" s="79" t="s">
        <v>191</v>
      </c>
    </row>
    <row r="94" spans="1:5">
      <c r="A94" s="79">
        <v>94</v>
      </c>
      <c r="B94" s="79" t="s">
        <v>84</v>
      </c>
      <c r="C94" s="79" t="s">
        <v>293</v>
      </c>
      <c r="D94" s="79" t="s">
        <v>294</v>
      </c>
      <c r="E94" s="79" t="s">
        <v>295</v>
      </c>
    </row>
    <row r="95" spans="1:5">
      <c r="A95" s="80">
        <v>95</v>
      </c>
      <c r="B95" s="79" t="s">
        <v>53</v>
      </c>
      <c r="C95" s="79" t="s">
        <v>192</v>
      </c>
      <c r="D95" s="79" t="s">
        <v>193</v>
      </c>
      <c r="E95" s="79" t="s">
        <v>194</v>
      </c>
    </row>
    <row r="96" spans="1:5">
      <c r="A96" s="79">
        <v>96</v>
      </c>
      <c r="B96" s="79" t="s">
        <v>85</v>
      </c>
      <c r="C96" s="79" t="s">
        <v>296</v>
      </c>
      <c r="D96" s="79" t="s">
        <v>297</v>
      </c>
      <c r="E96" s="79" t="s">
        <v>298</v>
      </c>
    </row>
    <row r="97" spans="1:5">
      <c r="A97" s="80">
        <v>97</v>
      </c>
      <c r="B97" s="79" t="s">
        <v>86</v>
      </c>
      <c r="C97" s="79" t="s">
        <v>299</v>
      </c>
      <c r="D97" s="79" t="s">
        <v>300</v>
      </c>
      <c r="E97" s="79" t="s">
        <v>301</v>
      </c>
    </row>
    <row r="98" spans="1:5">
      <c r="A98" s="79">
        <v>98</v>
      </c>
      <c r="B98" s="79" t="s">
        <v>631</v>
      </c>
      <c r="C98" s="79" t="s">
        <v>629</v>
      </c>
      <c r="D98" s="79" t="s">
        <v>630</v>
      </c>
      <c r="E98" s="79" t="s">
        <v>632</v>
      </c>
    </row>
    <row r="99" spans="1:5">
      <c r="A99" s="80">
        <v>99</v>
      </c>
      <c r="B99" s="79" t="s">
        <v>87</v>
      </c>
      <c r="C99" s="79" t="s">
        <v>302</v>
      </c>
      <c r="D99" s="79" t="s">
        <v>303</v>
      </c>
      <c r="E99" s="79" t="s">
        <v>304</v>
      </c>
    </row>
    <row r="100" spans="1:5">
      <c r="A100" s="79">
        <v>100</v>
      </c>
      <c r="B100" s="79" t="s">
        <v>88</v>
      </c>
      <c r="C100" s="79" t="s">
        <v>305</v>
      </c>
      <c r="D100" s="79" t="s">
        <v>306</v>
      </c>
      <c r="E100" s="79" t="s">
        <v>307</v>
      </c>
    </row>
    <row r="101" spans="1:5">
      <c r="A101" s="80">
        <v>101</v>
      </c>
      <c r="B101" s="79" t="s">
        <v>415</v>
      </c>
      <c r="C101" s="79" t="s">
        <v>417</v>
      </c>
      <c r="D101" s="79" t="s">
        <v>418</v>
      </c>
      <c r="E101" s="79" t="s">
        <v>416</v>
      </c>
    </row>
    <row r="102" spans="1:5">
      <c r="A102" s="79">
        <v>102</v>
      </c>
      <c r="B102" s="79" t="s">
        <v>89</v>
      </c>
      <c r="C102" s="79" t="s">
        <v>308</v>
      </c>
      <c r="D102" s="79" t="s">
        <v>309</v>
      </c>
      <c r="E102" s="79" t="s">
        <v>310</v>
      </c>
    </row>
    <row r="103" spans="1:5">
      <c r="A103" s="80">
        <v>103</v>
      </c>
      <c r="B103" s="79" t="s">
        <v>554</v>
      </c>
      <c r="C103" s="79" t="s">
        <v>559</v>
      </c>
      <c r="D103" s="79" t="s">
        <v>560</v>
      </c>
      <c r="E103" s="79" t="s">
        <v>561</v>
      </c>
    </row>
    <row r="104" spans="1:5">
      <c r="A104" s="79">
        <v>104</v>
      </c>
      <c r="B104" s="79" t="s">
        <v>555</v>
      </c>
      <c r="C104" s="79" t="s">
        <v>562</v>
      </c>
      <c r="D104" s="79" t="s">
        <v>563</v>
      </c>
      <c r="E104" s="82" t="s">
        <v>564</v>
      </c>
    </row>
    <row r="105" spans="1:5">
      <c r="A105" s="80">
        <v>105</v>
      </c>
      <c r="B105" s="79" t="s">
        <v>556</v>
      </c>
      <c r="C105" s="79" t="s">
        <v>565</v>
      </c>
      <c r="D105" s="79" t="s">
        <v>566</v>
      </c>
      <c r="E105" s="79" t="s">
        <v>567</v>
      </c>
    </row>
    <row r="106" spans="1:5">
      <c r="A106" s="79">
        <v>106</v>
      </c>
      <c r="B106" s="79" t="s">
        <v>557</v>
      </c>
      <c r="C106" s="79" t="s">
        <v>568</v>
      </c>
      <c r="D106" s="79" t="s">
        <v>569</v>
      </c>
      <c r="E106" s="79" t="s">
        <v>570</v>
      </c>
    </row>
    <row r="107" spans="1:5">
      <c r="A107" s="80">
        <v>107</v>
      </c>
      <c r="B107" s="79" t="s">
        <v>558</v>
      </c>
      <c r="C107" s="79" t="s">
        <v>571</v>
      </c>
      <c r="D107" s="79" t="s">
        <v>572</v>
      </c>
      <c r="E107" s="79" t="s">
        <v>573</v>
      </c>
    </row>
    <row r="108" spans="1:5">
      <c r="A108" s="79">
        <v>108</v>
      </c>
      <c r="B108" s="79" t="s">
        <v>550</v>
      </c>
      <c r="C108" s="79" t="s">
        <v>419</v>
      </c>
      <c r="D108" s="79" t="s">
        <v>420</v>
      </c>
      <c r="E108" s="79" t="s">
        <v>421</v>
      </c>
    </row>
    <row r="109" spans="1:5">
      <c r="A109" s="80">
        <v>109</v>
      </c>
      <c r="B109" s="79" t="s">
        <v>551</v>
      </c>
      <c r="C109" s="79" t="s">
        <v>311</v>
      </c>
      <c r="D109" s="79" t="s">
        <v>312</v>
      </c>
      <c r="E109" s="79" t="s">
        <v>313</v>
      </c>
    </row>
    <row r="110" spans="1:5" s="27" customFormat="1">
      <c r="A110" s="79">
        <v>110</v>
      </c>
      <c r="B110" s="79" t="s">
        <v>552</v>
      </c>
      <c r="C110" s="79" t="s">
        <v>314</v>
      </c>
      <c r="D110" s="79" t="s">
        <v>315</v>
      </c>
      <c r="E110" s="79" t="s">
        <v>316</v>
      </c>
    </row>
    <row r="111" spans="1:5" s="27" customFormat="1">
      <c r="A111" s="80">
        <v>111</v>
      </c>
      <c r="B111" s="79" t="s">
        <v>516</v>
      </c>
      <c r="C111" s="79" t="s">
        <v>386</v>
      </c>
      <c r="D111" s="79" t="s">
        <v>385</v>
      </c>
      <c r="E111" s="79" t="s">
        <v>384</v>
      </c>
    </row>
    <row r="112" spans="1:5">
      <c r="A112" s="79">
        <v>112</v>
      </c>
      <c r="B112" s="79" t="s">
        <v>517</v>
      </c>
      <c r="C112" s="79" t="s">
        <v>387</v>
      </c>
      <c r="D112" s="79" t="s">
        <v>389</v>
      </c>
      <c r="E112" s="79" t="s">
        <v>390</v>
      </c>
    </row>
    <row r="113" spans="1:5">
      <c r="A113" s="80">
        <v>113</v>
      </c>
      <c r="B113" s="79" t="s">
        <v>518</v>
      </c>
      <c r="C113" s="79" t="s">
        <v>453</v>
      </c>
      <c r="D113" s="79" t="s">
        <v>454</v>
      </c>
      <c r="E113" s="79" t="s">
        <v>455</v>
      </c>
    </row>
    <row r="114" spans="1:5">
      <c r="A114" s="79">
        <v>114</v>
      </c>
      <c r="B114" s="79" t="s">
        <v>519</v>
      </c>
      <c r="C114" s="79" t="s">
        <v>458</v>
      </c>
      <c r="D114" s="79" t="s">
        <v>461</v>
      </c>
      <c r="E114" s="79" t="s">
        <v>462</v>
      </c>
    </row>
    <row r="115" spans="1:5">
      <c r="A115" s="80">
        <v>115</v>
      </c>
      <c r="B115" s="79" t="s">
        <v>520</v>
      </c>
      <c r="C115" s="79" t="s">
        <v>456</v>
      </c>
      <c r="D115" s="79" t="s">
        <v>460</v>
      </c>
      <c r="E115" s="79" t="s">
        <v>463</v>
      </c>
    </row>
    <row r="116" spans="1:5" s="27" customFormat="1">
      <c r="A116" s="79">
        <v>116</v>
      </c>
      <c r="B116" s="79" t="s">
        <v>521</v>
      </c>
      <c r="C116" s="79" t="s">
        <v>457</v>
      </c>
      <c r="D116" s="79" t="s">
        <v>459</v>
      </c>
      <c r="E116" s="79" t="s">
        <v>464</v>
      </c>
    </row>
    <row r="117" spans="1:5" s="27" customFormat="1">
      <c r="A117" s="80">
        <v>117</v>
      </c>
      <c r="B117" s="79" t="s">
        <v>522</v>
      </c>
      <c r="C117" s="79" t="s">
        <v>383</v>
      </c>
      <c r="D117" s="79" t="s">
        <v>317</v>
      </c>
      <c r="E117" s="79" t="s">
        <v>318</v>
      </c>
    </row>
    <row r="118" spans="1:5" s="27" customFormat="1">
      <c r="A118" s="79">
        <v>118</v>
      </c>
      <c r="B118" s="79" t="s">
        <v>523</v>
      </c>
      <c r="C118" s="79" t="s">
        <v>450</v>
      </c>
      <c r="D118" s="79" t="s">
        <v>451</v>
      </c>
      <c r="E118" s="79" t="s">
        <v>452</v>
      </c>
    </row>
    <row r="119" spans="1:5">
      <c r="A119" s="80">
        <v>119</v>
      </c>
      <c r="B119" s="79" t="s">
        <v>524</v>
      </c>
      <c r="C119" s="79" t="s">
        <v>422</v>
      </c>
      <c r="D119" s="79" t="s">
        <v>423</v>
      </c>
      <c r="E119" s="79" t="s">
        <v>424</v>
      </c>
    </row>
    <row r="120" spans="1:5">
      <c r="A120" s="79">
        <v>120</v>
      </c>
      <c r="B120" s="79" t="s">
        <v>525</v>
      </c>
      <c r="C120" s="79" t="s">
        <v>377</v>
      </c>
      <c r="D120" s="79" t="s">
        <v>378</v>
      </c>
      <c r="E120" s="79" t="s">
        <v>379</v>
      </c>
    </row>
    <row r="121" spans="1:5">
      <c r="A121" s="80">
        <v>121</v>
      </c>
      <c r="B121" s="79" t="s">
        <v>526</v>
      </c>
      <c r="C121" s="79" t="s">
        <v>319</v>
      </c>
      <c r="D121" s="79" t="s">
        <v>320</v>
      </c>
      <c r="E121" s="79" t="s">
        <v>321</v>
      </c>
    </row>
    <row r="122" spans="1:5">
      <c r="A122" s="79">
        <v>122</v>
      </c>
      <c r="B122" s="79" t="s">
        <v>527</v>
      </c>
      <c r="C122" s="79" t="s">
        <v>322</v>
      </c>
      <c r="D122" s="79" t="s">
        <v>323</v>
      </c>
      <c r="E122" s="79" t="s">
        <v>509</v>
      </c>
    </row>
    <row r="123" spans="1:5">
      <c r="A123" s="80">
        <v>123</v>
      </c>
      <c r="B123" s="79" t="s">
        <v>528</v>
      </c>
      <c r="C123" s="79" t="s">
        <v>324</v>
      </c>
      <c r="D123" s="79" t="s">
        <v>325</v>
      </c>
      <c r="E123" s="79" t="s">
        <v>510</v>
      </c>
    </row>
    <row r="124" spans="1:5" s="27" customFormat="1">
      <c r="A124" s="79">
        <v>124</v>
      </c>
      <c r="B124" s="79" t="s">
        <v>529</v>
      </c>
      <c r="C124" s="79" t="s">
        <v>326</v>
      </c>
      <c r="D124" s="79" t="s">
        <v>327</v>
      </c>
      <c r="E124" s="79" t="s">
        <v>511</v>
      </c>
    </row>
    <row r="125" spans="1:5">
      <c r="A125" s="80">
        <v>125</v>
      </c>
      <c r="B125" s="79" t="s">
        <v>530</v>
      </c>
      <c r="C125" s="79" t="s">
        <v>425</v>
      </c>
      <c r="D125" s="79" t="s">
        <v>426</v>
      </c>
      <c r="E125" s="79" t="s">
        <v>427</v>
      </c>
    </row>
    <row r="126" spans="1:5">
      <c r="A126" s="79">
        <v>126</v>
      </c>
      <c r="B126" s="79" t="s">
        <v>531</v>
      </c>
      <c r="C126" s="79" t="s">
        <v>380</v>
      </c>
      <c r="D126" s="79" t="s">
        <v>381</v>
      </c>
      <c r="E126" s="79" t="s">
        <v>382</v>
      </c>
    </row>
    <row r="127" spans="1:5">
      <c r="A127" s="80">
        <v>127</v>
      </c>
      <c r="B127" s="79" t="s">
        <v>532</v>
      </c>
      <c r="C127" s="79" t="s">
        <v>328</v>
      </c>
      <c r="D127" s="79" t="s">
        <v>329</v>
      </c>
      <c r="E127" s="79" t="s">
        <v>330</v>
      </c>
    </row>
    <row r="128" spans="1:5">
      <c r="A128" s="79">
        <v>128</v>
      </c>
      <c r="B128" s="79" t="s">
        <v>533</v>
      </c>
      <c r="C128" s="79" t="s">
        <v>331</v>
      </c>
      <c r="D128" s="79" t="s">
        <v>332</v>
      </c>
      <c r="E128" s="79" t="s">
        <v>333</v>
      </c>
    </row>
    <row r="129" spans="1:5">
      <c r="A129" s="80">
        <v>129</v>
      </c>
      <c r="B129" s="79" t="s">
        <v>534</v>
      </c>
      <c r="C129" s="79" t="s">
        <v>334</v>
      </c>
      <c r="D129" s="79" t="s">
        <v>335</v>
      </c>
      <c r="E129" s="79" t="s">
        <v>336</v>
      </c>
    </row>
    <row r="130" spans="1:5">
      <c r="A130" s="79">
        <v>130</v>
      </c>
      <c r="B130" s="79" t="s">
        <v>535</v>
      </c>
      <c r="C130" s="79" t="s">
        <v>337</v>
      </c>
      <c r="D130" s="79" t="s">
        <v>338</v>
      </c>
      <c r="E130" s="79" t="s">
        <v>339</v>
      </c>
    </row>
    <row r="131" spans="1:5">
      <c r="A131" s="80">
        <v>131</v>
      </c>
      <c r="B131" s="79" t="s">
        <v>536</v>
      </c>
      <c r="C131" s="79" t="s">
        <v>340</v>
      </c>
      <c r="D131" s="79" t="s">
        <v>341</v>
      </c>
      <c r="E131" s="79" t="s">
        <v>342</v>
      </c>
    </row>
    <row r="132" spans="1:5">
      <c r="A132" s="79">
        <v>132</v>
      </c>
      <c r="B132" s="79" t="s">
        <v>685</v>
      </c>
      <c r="C132" s="79" t="s">
        <v>689</v>
      </c>
      <c r="D132" s="79" t="s">
        <v>693</v>
      </c>
      <c r="E132" s="79" t="s">
        <v>697</v>
      </c>
    </row>
    <row r="133" spans="1:5">
      <c r="A133" s="80">
        <v>133</v>
      </c>
      <c r="B133" s="79" t="s">
        <v>686</v>
      </c>
      <c r="C133" s="79" t="s">
        <v>690</v>
      </c>
      <c r="D133" s="79" t="s">
        <v>694</v>
      </c>
      <c r="E133" s="79" t="s">
        <v>698</v>
      </c>
    </row>
    <row r="134" spans="1:5">
      <c r="A134" s="79">
        <v>134</v>
      </c>
      <c r="B134" s="79" t="s">
        <v>687</v>
      </c>
      <c r="C134" s="79" t="s">
        <v>691</v>
      </c>
      <c r="D134" s="79" t="s">
        <v>695</v>
      </c>
      <c r="E134" s="79" t="s">
        <v>699</v>
      </c>
    </row>
    <row r="135" spans="1:5">
      <c r="A135" s="80">
        <v>135</v>
      </c>
      <c r="B135" s="79" t="s">
        <v>688</v>
      </c>
      <c r="C135" s="79" t="s">
        <v>692</v>
      </c>
      <c r="D135" s="79" t="s">
        <v>696</v>
      </c>
      <c r="E135" s="79" t="s">
        <v>700</v>
      </c>
    </row>
    <row r="136" spans="1:5">
      <c r="A136" s="79">
        <v>136</v>
      </c>
      <c r="B136" s="79" t="s">
        <v>537</v>
      </c>
      <c r="C136" s="79" t="s">
        <v>343</v>
      </c>
      <c r="D136" s="79" t="s">
        <v>344</v>
      </c>
      <c r="E136" s="79" t="s">
        <v>345</v>
      </c>
    </row>
    <row r="137" spans="1:5">
      <c r="A137" s="80">
        <v>137</v>
      </c>
      <c r="B137" s="79" t="s">
        <v>538</v>
      </c>
      <c r="C137" s="79" t="s">
        <v>346</v>
      </c>
      <c r="D137" s="79" t="s">
        <v>347</v>
      </c>
      <c r="E137" s="79" t="s">
        <v>348</v>
      </c>
    </row>
    <row r="138" spans="1:5">
      <c r="A138" s="79">
        <v>138</v>
      </c>
      <c r="B138" s="79" t="s">
        <v>539</v>
      </c>
      <c r="C138" s="79" t="s">
        <v>349</v>
      </c>
      <c r="D138" s="79" t="s">
        <v>350</v>
      </c>
      <c r="E138" s="79" t="s">
        <v>351</v>
      </c>
    </row>
    <row r="139" spans="1:5">
      <c r="A139" s="80">
        <v>139</v>
      </c>
      <c r="B139" s="79" t="s">
        <v>540</v>
      </c>
      <c r="C139" s="79" t="s">
        <v>352</v>
      </c>
      <c r="D139" s="79" t="s">
        <v>353</v>
      </c>
      <c r="E139" s="79" t="s">
        <v>354</v>
      </c>
    </row>
    <row r="140" spans="1:5">
      <c r="A140" s="79">
        <v>140</v>
      </c>
      <c r="B140" s="79" t="s">
        <v>541</v>
      </c>
      <c r="C140" s="79" t="s">
        <v>432</v>
      </c>
      <c r="D140" s="79" t="s">
        <v>436</v>
      </c>
      <c r="E140" s="79" t="s">
        <v>428</v>
      </c>
    </row>
    <row r="141" spans="1:5">
      <c r="A141" s="80">
        <v>141</v>
      </c>
      <c r="B141" s="79" t="s">
        <v>542</v>
      </c>
      <c r="C141" s="79" t="s">
        <v>433</v>
      </c>
      <c r="D141" s="79" t="s">
        <v>437</v>
      </c>
      <c r="E141" s="79" t="s">
        <v>429</v>
      </c>
    </row>
    <row r="142" spans="1:5">
      <c r="A142" s="79">
        <v>142</v>
      </c>
      <c r="B142" s="79" t="s">
        <v>543</v>
      </c>
      <c r="C142" s="79" t="s">
        <v>434</v>
      </c>
      <c r="D142" s="79" t="s">
        <v>438</v>
      </c>
      <c r="E142" s="79" t="s">
        <v>430</v>
      </c>
    </row>
    <row r="143" spans="1:5">
      <c r="A143" s="80">
        <v>143</v>
      </c>
      <c r="B143" s="79" t="s">
        <v>544</v>
      </c>
      <c r="C143" s="79" t="s">
        <v>435</v>
      </c>
      <c r="D143" s="79" t="s">
        <v>439</v>
      </c>
      <c r="E143" s="79" t="s">
        <v>431</v>
      </c>
    </row>
    <row r="144" spans="1:5">
      <c r="A144" s="79">
        <v>144</v>
      </c>
      <c r="B144" s="79" t="s">
        <v>545</v>
      </c>
      <c r="C144" s="79" t="s">
        <v>465</v>
      </c>
      <c r="D144" s="79" t="s">
        <v>466</v>
      </c>
      <c r="E144" s="79" t="s">
        <v>467</v>
      </c>
    </row>
    <row r="145" spans="1:5">
      <c r="A145" s="80">
        <v>145</v>
      </c>
      <c r="B145" s="79" t="s">
        <v>546</v>
      </c>
      <c r="C145" s="79" t="s">
        <v>468</v>
      </c>
      <c r="D145" s="79" t="s">
        <v>469</v>
      </c>
      <c r="E145" s="79" t="s">
        <v>470</v>
      </c>
    </row>
    <row r="146" spans="1:5">
      <c r="A146" s="79">
        <v>146</v>
      </c>
      <c r="B146" s="79" t="s">
        <v>547</v>
      </c>
      <c r="C146" s="79" t="s">
        <v>355</v>
      </c>
      <c r="D146" s="79" t="s">
        <v>356</v>
      </c>
      <c r="E146" s="79" t="s">
        <v>357</v>
      </c>
    </row>
    <row r="147" spans="1:5">
      <c r="A147" s="80">
        <v>147</v>
      </c>
      <c r="B147" s="79" t="s">
        <v>548</v>
      </c>
      <c r="C147" s="79" t="s">
        <v>471</v>
      </c>
      <c r="D147" s="79" t="s">
        <v>472</v>
      </c>
      <c r="E147" s="79" t="s">
        <v>473</v>
      </c>
    </row>
    <row r="148" spans="1:5">
      <c r="A148" s="79">
        <v>148</v>
      </c>
      <c r="B148" s="79" t="s">
        <v>549</v>
      </c>
      <c r="C148" s="79" t="s">
        <v>474</v>
      </c>
      <c r="D148" s="79" t="s">
        <v>475</v>
      </c>
      <c r="E148" s="79" t="s">
        <v>476</v>
      </c>
    </row>
    <row r="149" spans="1:5">
      <c r="A149" s="80">
        <v>149</v>
      </c>
      <c r="B149" s="79" t="s">
        <v>574</v>
      </c>
      <c r="C149" s="79" t="s">
        <v>575</v>
      </c>
      <c r="D149" s="79" t="s">
        <v>576</v>
      </c>
      <c r="E149" s="79" t="s">
        <v>577</v>
      </c>
    </row>
    <row r="150" spans="1:5">
      <c r="A150" s="79">
        <v>150</v>
      </c>
      <c r="B150" s="79" t="s">
        <v>578</v>
      </c>
      <c r="C150" s="79" t="s">
        <v>579</v>
      </c>
      <c r="D150" s="79" t="s">
        <v>580</v>
      </c>
      <c r="E150" s="79" t="s">
        <v>581</v>
      </c>
    </row>
    <row r="151" spans="1:5">
      <c r="A151" s="80">
        <v>151</v>
      </c>
      <c r="B151" s="79" t="s">
        <v>582</v>
      </c>
      <c r="C151" s="79" t="s">
        <v>358</v>
      </c>
      <c r="D151" s="79" t="s">
        <v>359</v>
      </c>
      <c r="E151" s="79" t="s">
        <v>360</v>
      </c>
    </row>
    <row r="152" spans="1:5">
      <c r="A152" s="79">
        <v>152</v>
      </c>
      <c r="B152" s="79" t="s">
        <v>395</v>
      </c>
      <c r="C152" s="79" t="s">
        <v>408</v>
      </c>
      <c r="D152" s="79" t="s">
        <v>409</v>
      </c>
      <c r="E152" s="79" t="s">
        <v>407</v>
      </c>
    </row>
    <row r="153" spans="1:5">
      <c r="A153" s="80">
        <v>153</v>
      </c>
      <c r="B153" s="79" t="s">
        <v>90</v>
      </c>
      <c r="C153" s="79" t="s">
        <v>361</v>
      </c>
      <c r="D153" s="79" t="s">
        <v>362</v>
      </c>
      <c r="E153" s="79" t="s">
        <v>363</v>
      </c>
    </row>
    <row r="154" spans="1:5">
      <c r="A154" s="79">
        <v>154</v>
      </c>
      <c r="B154" s="79" t="s">
        <v>502</v>
      </c>
      <c r="C154" s="79" t="s">
        <v>503</v>
      </c>
      <c r="D154" s="79" t="s">
        <v>504</v>
      </c>
      <c r="E154" s="79" t="s">
        <v>505</v>
      </c>
    </row>
    <row r="155" spans="1:5">
      <c r="A155" s="80">
        <v>155</v>
      </c>
      <c r="B155" s="79" t="s">
        <v>4</v>
      </c>
      <c r="C155" s="79" t="s">
        <v>4</v>
      </c>
      <c r="D155" s="79" t="s">
        <v>4</v>
      </c>
      <c r="E155" s="79" t="s">
        <v>364</v>
      </c>
    </row>
    <row r="156" spans="1:5">
      <c r="A156" s="79">
        <v>156</v>
      </c>
      <c r="B156" s="79" t="s">
        <v>607</v>
      </c>
      <c r="C156" s="79" t="s">
        <v>607</v>
      </c>
      <c r="D156" s="79" t="s">
        <v>607</v>
      </c>
      <c r="E156" s="79" t="s">
        <v>608</v>
      </c>
    </row>
    <row r="157" spans="1:5">
      <c r="A157" s="80">
        <v>157</v>
      </c>
      <c r="B157" s="79" t="s">
        <v>610</v>
      </c>
      <c r="C157" s="79" t="s">
        <v>610</v>
      </c>
      <c r="D157" s="79" t="s">
        <v>610</v>
      </c>
      <c r="E157" s="79" t="s">
        <v>611</v>
      </c>
    </row>
    <row r="158" spans="1:5">
      <c r="A158" s="79">
        <v>158</v>
      </c>
      <c r="B158" s="79" t="s">
        <v>5</v>
      </c>
      <c r="C158" s="79" t="s">
        <v>365</v>
      </c>
      <c r="D158" s="79" t="s">
        <v>366</v>
      </c>
      <c r="E158" s="79" t="s">
        <v>367</v>
      </c>
    </row>
    <row r="159" spans="1:5">
      <c r="A159" s="80">
        <v>159</v>
      </c>
      <c r="B159" s="79" t="s">
        <v>411</v>
      </c>
      <c r="C159" s="79" t="s">
        <v>412</v>
      </c>
      <c r="D159" s="79" t="s">
        <v>413</v>
      </c>
      <c r="E159" s="79" t="s">
        <v>414</v>
      </c>
    </row>
    <row r="160" spans="1:5">
      <c r="A160" s="79">
        <v>160</v>
      </c>
      <c r="B160" s="79" t="s">
        <v>515</v>
      </c>
      <c r="C160" s="79" t="s">
        <v>584</v>
      </c>
      <c r="D160" s="79" t="s">
        <v>583</v>
      </c>
      <c r="E160" s="79" t="s">
        <v>590</v>
      </c>
    </row>
    <row r="161" spans="1:5">
      <c r="A161" s="80">
        <v>161</v>
      </c>
      <c r="B161" s="79" t="s">
        <v>586</v>
      </c>
      <c r="C161" s="79" t="s">
        <v>587</v>
      </c>
      <c r="D161" s="79" t="s">
        <v>588</v>
      </c>
      <c r="E161" s="79" t="s">
        <v>589</v>
      </c>
    </row>
    <row r="162" spans="1:5">
      <c r="A162" s="79">
        <v>162</v>
      </c>
      <c r="B162" s="79" t="s">
        <v>599</v>
      </c>
      <c r="C162" s="79" t="s">
        <v>597</v>
      </c>
      <c r="D162" s="79" t="s">
        <v>600</v>
      </c>
      <c r="E162" s="79" t="s">
        <v>598</v>
      </c>
    </row>
    <row r="163" spans="1:5">
      <c r="A163" s="80">
        <v>163</v>
      </c>
      <c r="B163" s="79" t="s">
        <v>646</v>
      </c>
      <c r="C163" s="79" t="s">
        <v>647</v>
      </c>
      <c r="D163" s="79" t="s">
        <v>647</v>
      </c>
      <c r="E163" s="79" t="s">
        <v>647</v>
      </c>
    </row>
    <row r="164" spans="1:5">
      <c r="A164" s="79">
        <v>164</v>
      </c>
      <c r="B164" s="79" t="s">
        <v>648</v>
      </c>
      <c r="C164" s="79" t="s">
        <v>651</v>
      </c>
      <c r="D164" s="79" t="s">
        <v>652</v>
      </c>
      <c r="E164" s="79" t="s">
        <v>653</v>
      </c>
    </row>
    <row r="165" spans="1:5">
      <c r="A165" s="80">
        <v>165</v>
      </c>
      <c r="B165" s="79" t="s">
        <v>650</v>
      </c>
      <c r="C165" s="79" t="s">
        <v>654</v>
      </c>
      <c r="D165" s="79" t="s">
        <v>654</v>
      </c>
      <c r="E165" s="79" t="s">
        <v>654</v>
      </c>
    </row>
    <row r="166" spans="1:5">
      <c r="A166" s="79">
        <v>166</v>
      </c>
      <c r="B166" s="79" t="s">
        <v>649</v>
      </c>
      <c r="C166" s="79" t="s">
        <v>654</v>
      </c>
      <c r="D166" s="79" t="s">
        <v>654</v>
      </c>
      <c r="E166" s="79" t="s">
        <v>654</v>
      </c>
    </row>
    <row r="167" spans="1:5">
      <c r="A167" s="80">
        <v>167</v>
      </c>
      <c r="B167" s="79" t="s">
        <v>661</v>
      </c>
      <c r="C167" s="79" t="s">
        <v>662</v>
      </c>
      <c r="D167" s="79" t="s">
        <v>665</v>
      </c>
      <c r="E167" s="79" t="s">
        <v>657</v>
      </c>
    </row>
    <row r="168" spans="1:5" ht="41.4">
      <c r="A168" s="79">
        <v>168</v>
      </c>
      <c r="B168" s="82" t="s">
        <v>676</v>
      </c>
      <c r="C168" s="82" t="s">
        <v>677</v>
      </c>
      <c r="D168" s="82" t="s">
        <v>678</v>
      </c>
      <c r="E168" s="82" t="s">
        <v>679</v>
      </c>
    </row>
    <row r="169" spans="1:5">
      <c r="A169" s="326"/>
      <c r="B169" s="327"/>
      <c r="C169" s="328"/>
      <c r="D169" s="329"/>
      <c r="E169" s="329"/>
    </row>
  </sheetData>
  <sheetProtection algorithmName="SHA-512" hashValue="RmIeUhccate/d9gJM+aDgHOTNqeLbLa0SXZ1X3BKOjCaMuA94hvzjV4mJ35TczV86y2PUgU0fRYTD8TOAhZVYg==" saltValue="LS86baduVXnT2mdRN1L1VQ==" spinCount="100000" sheet="1" objects="1" scenario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33</vt:i4>
      </vt:variant>
    </vt:vector>
  </HeadingPairs>
  <TitlesOfParts>
    <vt:vector size="36" baseType="lpstr">
      <vt:lpstr>Kalkulator</vt:lpstr>
      <vt:lpstr>Ceny</vt:lpstr>
      <vt:lpstr>Opisy</vt:lpstr>
      <vt:lpstr>budynki</vt:lpstr>
      <vt:lpstr>cena</vt:lpstr>
      <vt:lpstr>ceny</vt:lpstr>
      <vt:lpstr>data</vt:lpstr>
      <vt:lpstr>dopłaty_f</vt:lpstr>
      <vt:lpstr>dopłaty_g</vt:lpstr>
      <vt:lpstr>dopłaty_i</vt:lpstr>
      <vt:lpstr>dopłaty_t</vt:lpstr>
      <vt:lpstr>farby</vt:lpstr>
      <vt:lpstr>grunty</vt:lpstr>
      <vt:lpstr>grupy</vt:lpstr>
      <vt:lpstr>izolacja</vt:lpstr>
      <vt:lpstr>Język</vt:lpstr>
      <vt:lpstr>Języki</vt:lpstr>
      <vt:lpstr>kleje_1</vt:lpstr>
      <vt:lpstr>kleje_1_GRAFIT</vt:lpstr>
      <vt:lpstr>Kleje_1_XPS</vt:lpstr>
      <vt:lpstr>kleje_2</vt:lpstr>
      <vt:lpstr>Kleje_2_XPS</vt:lpstr>
      <vt:lpstr>Ceny!Obszar_wydruku</vt:lpstr>
      <vt:lpstr>Kalkulator!Obszar_wydruku</vt:lpstr>
      <vt:lpstr>opisy</vt:lpstr>
      <vt:lpstr>produkty</vt:lpstr>
      <vt:lpstr>rodzaje_styropianu</vt:lpstr>
      <vt:lpstr>siatki</vt:lpstr>
      <vt:lpstr>ściany</vt:lpstr>
      <vt:lpstr>tabela_budynki</vt:lpstr>
      <vt:lpstr>tabela_dopłaty_f</vt:lpstr>
      <vt:lpstr>tabela_dopłaty_g</vt:lpstr>
      <vt:lpstr>tabela_dopłaty_t</vt:lpstr>
      <vt:lpstr>tabela_izolacja</vt:lpstr>
      <vt:lpstr>tabela_ściany</vt:lpstr>
      <vt:lpstr>tynki</vt:lpstr>
    </vt:vector>
  </TitlesOfParts>
  <Company>Alpol Gips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Sławek Zalewski</dc:creator>
  <cp:lastModifiedBy>Sławomir Zalewski</cp:lastModifiedBy>
  <cp:lastPrinted>2023-12-20T15:20:43Z</cp:lastPrinted>
  <dcterms:created xsi:type="dcterms:W3CDTF">2007-03-05T13:47:34Z</dcterms:created>
  <dcterms:modified xsi:type="dcterms:W3CDTF">2024-01-09T13:17:41Z</dcterms:modified>
</cp:coreProperties>
</file>